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'укр'!$A$5:$N$99</definedName>
    <definedName name="Z_04ACB588_E2F7_4C72_90EE_C1D7F57E0343_.wvu.FilterData" localSheetId="1" hidden="1">'рус'!$A$3:$M$90</definedName>
    <definedName name="Z_04ACB588_E2F7_4C72_90EE_C1D7F57E0343_.wvu.FilterData" localSheetId="0" hidden="1">'укр'!$A$5:$N$99</definedName>
    <definedName name="Z_0AB4131A_8BED_4BFC_A370_C1BC1C9D4C7C_.wvu.FilterData" localSheetId="1" hidden="1">'рус'!$A$3:$M$90</definedName>
    <definedName name="Z_0AB4131A_8BED_4BFC_A370_C1BC1C9D4C7C_.wvu.FilterData" localSheetId="0" hidden="1">'укр'!$A$5:$N$90</definedName>
    <definedName name="Z_1046EEE3_1562_4020_8D2B_824F51BD9219_.wvu.FilterData" localSheetId="1" hidden="1">'рус'!$A$3:$M$90</definedName>
    <definedName name="Z_1054A86F_0A27_49A1_9D7E_76FC64889737_.wvu.FilterData" localSheetId="0" hidden="1">'укр'!$A$5:$N$90</definedName>
    <definedName name="Z_1118C1DB_0416_47C1_A822_3E69CF54CCB3_.wvu.FilterData" localSheetId="0" hidden="1">'укр'!$A$5:$N$90</definedName>
    <definedName name="Z_1C966999_B4C5_43B7_926D_365C642CB6F1_.wvu.FilterData" localSheetId="0" hidden="1">'укр'!$A$5:$N$99</definedName>
    <definedName name="Z_231C1CD9_D5BC_43F0_874C_628A321B7F6D_.wvu.FilterData" localSheetId="1" hidden="1">'рус'!$A$3:$M$90</definedName>
    <definedName name="Z_231C1CD9_D5BC_43F0_874C_628A321B7F6D_.wvu.FilterData" localSheetId="0" hidden="1">'укр'!$A$5:$N$99</definedName>
    <definedName name="Z_24240EEA_952B_4B02_AFBB_C5493EA03E7A_.wvu.FilterData" localSheetId="0" hidden="1">'укр'!$A$5:$N$99</definedName>
    <definedName name="Z_27F388CE_0524_43E5_9E25_7EEC8B6CD1B4_.wvu.FilterData" localSheetId="0" hidden="1">'укр'!$A$5:$N$90</definedName>
    <definedName name="Z_3A145DEE_F66F_4ADC_8CE5_38BF43BF697E_.wvu.FilterData" localSheetId="0" hidden="1">'укр'!$A$5:$N$99</definedName>
    <definedName name="Z_3ABA87E8_DFA0_45BE_BA5D_FCDF1374FB92_.wvu.FilterData" localSheetId="0" hidden="1">'укр'!$A$5:$N$99</definedName>
    <definedName name="Z_3DE70603_A759_4A69_B4A6_A5BF364011E4_.wvu.FilterData" localSheetId="0" hidden="1">'укр'!$A$5:$N$90</definedName>
    <definedName name="Z_4260F083_649D_4241_ADC9_F602D674C2A9_.wvu.FilterData" localSheetId="0" hidden="1">'укр'!$A$5:$N$99</definedName>
    <definedName name="Z_49628C96_C195_416C_8FF0_14DD43C23211_.wvu.FilterData" localSheetId="1" hidden="1">'рус'!$A$3:$M$90</definedName>
    <definedName name="Z_49628C96_C195_416C_8FF0_14DD43C23211_.wvu.FilterData" localSheetId="0" hidden="1">'укр'!$A$5:$N$99</definedName>
    <definedName name="Z_4CD494E0_A5E8_4389_B231_32C134BAAFE3_.wvu.FilterData" localSheetId="1" hidden="1">'рус'!$A$3:$M$90</definedName>
    <definedName name="Z_4CD494E0_A5E8_4389_B231_32C134BAAFE3_.wvu.FilterData" localSheetId="0" hidden="1">'укр'!$A$5:$N$90</definedName>
    <definedName name="Z_4F73FC08_4ACE_4F60_8CCD_8CB6CCF71C74_.wvu.FilterData" localSheetId="0" hidden="1">'укр'!$A$5:$N$90</definedName>
    <definedName name="Z_58053810_807D_4B5B_A58D_D2B31B4E7C2D_.wvu.FilterData" localSheetId="0" hidden="1">'укр'!$A$5:$N$99</definedName>
    <definedName name="Z_5BF60E64_9CFF_4192_B734_77E73C07738E_.wvu.FilterData" localSheetId="0" hidden="1">'укр'!$A$5:$N$90</definedName>
    <definedName name="Z_617CC03B_61AA_4EAA_90A8_4FFD22DB74E3_.wvu.FilterData" localSheetId="0" hidden="1">'укр'!$A$5:$N$90</definedName>
    <definedName name="Z_6631C4E3_E3DE_4FDA_8360_88DA555E1CDC_.wvu.FilterData" localSheetId="1" hidden="1">'рус'!$A$3:$M$90</definedName>
    <definedName name="Z_6631C4E3_E3DE_4FDA_8360_88DA555E1CDC_.wvu.FilterData" localSheetId="0" hidden="1">'укр'!$A$5:$N$99</definedName>
    <definedName name="Z_672E82EF_B617_4568_88A0_B0D5C24A9181_.wvu.FilterData" localSheetId="0" hidden="1">'укр'!$A$5:$N$90</definedName>
    <definedName name="Z_6D745CBB_D96C_4096_B121_CE1FF649F302_.wvu.FilterData" localSheetId="0" hidden="1">'укр'!$A$5:$N$99</definedName>
    <definedName name="Z_72A9030B_9E1B_4FF0_81DC_13BA92CF6228_.wvu.FilterData" localSheetId="0" hidden="1">'укр'!$A$5:$N$99</definedName>
    <definedName name="Z_77FC4776_5A4A_492C_991A_5A42D696A663_.wvu.FilterData" localSheetId="0" hidden="1">'укр'!$A$5:$N$99</definedName>
    <definedName name="Z_79E0FD67_78FE_4620_A1A7_B5C455565654_.wvu.FilterData" localSheetId="0" hidden="1">'укр'!$A$5:$N$90</definedName>
    <definedName name="Z_83D0CCFC_E5EE_4571_B75B_A5A7C3C26172_.wvu.FilterData" localSheetId="1" hidden="1">'рус'!$A$3:$M$90</definedName>
    <definedName name="Z_8857BE6F_1159_4631_824E_129574F12620_.wvu.FilterData" localSheetId="0" hidden="1">'укр'!$A$5:$N$99</definedName>
    <definedName name="Z_88C6652C_1959_4D9F_BDAD_4D2FA65820E4_.wvu.FilterData" localSheetId="0" hidden="1">'укр'!$A$5:$N$90</definedName>
    <definedName name="Z_8EE5D67B_4CA5_40A5_A922_CD0FEE1CC0D1_.wvu.FilterData" localSheetId="0" hidden="1">'укр'!$A$5:$N$90</definedName>
    <definedName name="Z_94E5261F_BBF3_44CC_BB96_6EE4FAC48D5E_.wvu.FilterData" localSheetId="1" hidden="1">'рус'!$A$3:$M$90</definedName>
    <definedName name="Z_94E5261F_BBF3_44CC_BB96_6EE4FAC48D5E_.wvu.FilterData" localSheetId="0" hidden="1">'укр'!$A$5:$N$99</definedName>
    <definedName name="Z_94E5261F_BBF3_44CC_BB96_6EE4FAC48D5E_.wvu.PrintTitles" localSheetId="0" hidden="1">'укр'!$3:$4</definedName>
    <definedName name="Z_9E428FD8_4A7F_4695_B619_6CD4A85A7CD9_.wvu.FilterData" localSheetId="0" hidden="1">'укр'!$A$5:$N$90</definedName>
    <definedName name="Z_AAD35164_C16D_4344_AB49_3EDD3EB5143B_.wvu.FilterData" localSheetId="1" hidden="1">'рус'!$A$3:$M$90</definedName>
    <definedName name="Z_AAD35164_C16D_4344_AB49_3EDD3EB5143B_.wvu.FilterData" localSheetId="0" hidden="1">'укр'!$A$5:$N$99</definedName>
    <definedName name="Z_B005A4D0_4D83_4519_8DC2_94F47F9339DB_.wvu.FilterData" localSheetId="0" hidden="1">'укр'!$A$5:$N$99</definedName>
    <definedName name="Z_B6AA2B40_3CC2_41A0_9585_B2CF71A6FBEA_.wvu.FilterData" localSheetId="0" hidden="1">'укр'!$A$5:$N$90</definedName>
    <definedName name="Z_BD696675_756F_4C65_9FBC_AF64F1E4ED1A_.wvu.FilterData" localSheetId="0" hidden="1">'укр'!$A$5:$N$99</definedName>
    <definedName name="Z_BF88407D_B535_4517_A33E_4B66B4BE59F2_.wvu.FilterData" localSheetId="0" hidden="1">'укр'!$A$5:$N$90</definedName>
    <definedName name="Z_C412732E_09B2_4FD4_A85C_B91F17699E15_.wvu.FilterData" localSheetId="0" hidden="1">'укр'!$A$5:$N$90</definedName>
    <definedName name="Z_CCB6C31A_E2C2_467C_B0EF_22068EE5B7E6_.wvu.FilterData" localSheetId="0" hidden="1">'укр'!$A$5:$N$99</definedName>
    <definedName name="Z_D266BC48_5515_4A75_9DB6_3A407AEB8B33_.wvu.FilterData" localSheetId="0" hidden="1">'укр'!$A$5:$N$90</definedName>
    <definedName name="Z_D456CF22_C4A3_47CC_9796_39031F9CB851_.wvu.FilterData" localSheetId="1" hidden="1">'рус'!$A$3:$M$90</definedName>
    <definedName name="Z_D456CF22_C4A3_47CC_9796_39031F9CB851_.wvu.FilterData" localSheetId="0" hidden="1">'укр'!$A$5:$N$99</definedName>
    <definedName name="Z_DD69DD97_1E5C_4687_BB7A_6E54A3A2851D_.wvu.FilterData" localSheetId="0" hidden="1">'укр'!$A$5:$N$90</definedName>
    <definedName name="Z_E9CFA120_5FC1_4ACD_A9F4_51CC159105FA_.wvu.FilterData" localSheetId="0" hidden="1">'укр'!$A$5:$N$99</definedName>
    <definedName name="Z_EDF91F7F_6349_440C_99E3_AA497F3CC267_.wvu.FilterData" localSheetId="1" hidden="1">'рус'!$A$3:$M$90</definedName>
    <definedName name="Z_EDF91F7F_6349_440C_99E3_AA497F3CC267_.wvu.FilterData" localSheetId="0" hidden="1">'укр'!$A$5:$N$99</definedName>
    <definedName name="Z_F0F0F2F2_6B0B_46F3_97EF_06EC5C7DBFC2_.wvu.FilterData" localSheetId="0" hidden="1">'укр'!$A$5:$N$99</definedName>
    <definedName name="Z_F91456B9_4E53_4C5A_B738_AE85B41E256C_.wvu.FilterData" localSheetId="0" hidden="1">'укр'!$A$5:$N$90</definedName>
    <definedName name="Z_F9194F6B_BA54_43F5_8AA8_2451A733CA6A_.wvu.FilterData" localSheetId="1" hidden="1">'рус'!$A$3:$M$90</definedName>
    <definedName name="Z_F9194F6B_BA54_43F5_8AA8_2451A733CA6A_.wvu.FilterData" localSheetId="0" hidden="1">'укр'!$A$5:$N$99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<sst xmlns="http://schemas.openxmlformats.org/spreadsheetml/2006/main" count="190" uniqueCount="81">
  <si>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</si>
  <si>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</si>
  <si>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</si>
  <si>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</si>
  <si>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</si>
  <si>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</si>
  <si>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</si>
  <si>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</si>
  <si>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</si>
  <si>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</si>
  <si>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</si>
  <si>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</si>
  <si>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</si>
  <si>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</si>
  <si>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</si>
  <si>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</si>
  <si>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</si>
  <si>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</si>
  <si>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</si>
  <si>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</si>
  <si>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</si>
  <si>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</si>
  <si>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</si>
  <si>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</si>
  <si>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</si>
  <si>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</si>
  <si>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</si>
  <si>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</si>
  <si>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</si>
  <si>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</si>
  <si>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</si>
  <si>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</si>
  <si>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</si>
  <si>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</si>
  <si>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</si>
  <si>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</si>
  <si>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</si>
  <si>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</si>
  <si>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</si>
  <si>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</si>
  <si>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</si>
  <si>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</si>
  <si>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</si>
  <si>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</si>
  <si>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</si>
  <si>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</si>
  <si>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</si>
  <si>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</si>
  <si>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</si>
  <si>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</si>
  <si>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</si>
  <si>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</si>
  <si>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</si>
  <si>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</si>
  <si>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</si>
  <si>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</si>
  <si>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</si>
  <si>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</si>
  <si>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</si>
  <si>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</si>
  <si>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</si>
  <si>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</si>
  <si>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</si>
  <si>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</si>
  <si>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</si>
  <si>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</si>
  <si>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</si>
  <si>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</si>
  <si>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</si>
  <si>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План на січень-квітень, з урахуванням змін тис. грн.</t>
  </si>
  <si>
    <t xml:space="preserve">План на январь-апрель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</si>
  <si>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29 апреля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</si>
  <si>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29 апреля </t>
    </r>
    <r>
      <rPr>
        <sz val="11"/>
        <rFont val="Times New Roman"/>
        <family val="1"/>
      </rPr>
      <t>тыс. грн.</t>
    </r>
  </si>
  <si>
    <t>з них виділено додатково за рахунок:</t>
  </si>
  <si>
    <t>понадпланових надходжень до міського бюджету м. Миколаєва</t>
  </si>
  <si>
    <t>додаткових обсягів освітньої та медичної субвенції з державного бюджету</t>
  </si>
  <si>
    <t>из них выделено дополнительно за счет:</t>
  </si>
  <si>
    <t>за счет сверхплановых поступлений в городской бюджет г. Николаева</t>
  </si>
  <si>
    <t>дополнительных объемов образовательной и медицинской субвенции из государственного бюджета</t>
  </si>
  <si>
    <t>Щомісячна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</si>
  <si>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Ежемесячная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</si>
</sst>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zoomScalePageLayoutView="0" workbookViewId="0" topLeftCell="A1">
      <pane xSplit="1" ySplit="4" topLeftCell="B8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H90"/>
    </sheetView>
  </sheetViews>
  <sheetFormatPr defaultColWidth="9.140625" defaultRowHeight="15"/>
  <cols>
    <col min="1" max="1" width="36.140625" style="10" customWidth="1"/>
    <col min="2" max="4" width="18.421875" style="10" customWidth="1"/>
    <col min="5" max="5" width="17.28125" style="53" customWidth="1"/>
    <col min="6" max="6" width="15.8515625" style="53" customWidth="1"/>
    <col min="7" max="7" width="16.421875" style="53" customWidth="1"/>
    <col min="8" max="8" width="14.57421875" style="53" customWidth="1"/>
    <col min="9" max="16384" width="9.140625" style="10" customWidth="1"/>
  </cols>
  <sheetData>
    <row r="1" spans="1:8" s="1" customFormat="1" ht="45" customHeight="1">
      <c r="A1" s="70" t="s">
        <v>79</v>
      </c>
      <c r="B1" s="70"/>
      <c r="C1" s="70"/>
      <c r="D1" s="70"/>
      <c r="E1" s="70"/>
      <c r="F1" s="70"/>
      <c r="G1" s="70"/>
      <c r="H1" s="70"/>
    </row>
    <row r="2" spans="1:8" s="1" customFormat="1" ht="12.75" customHeight="1">
      <c r="A2" s="15"/>
      <c r="B2" s="15"/>
      <c r="C2" s="15"/>
      <c r="D2" s="15"/>
      <c r="E2" s="15"/>
      <c r="F2" s="15"/>
      <c r="G2" s="16"/>
      <c r="H2" s="58"/>
    </row>
    <row r="3" spans="1:8" s="1" customFormat="1" ht="31.5" customHeight="1">
      <c r="A3" s="71"/>
      <c r="B3" s="71" t="s">
        <v>64</v>
      </c>
      <c r="C3" s="73" t="s">
        <v>73</v>
      </c>
      <c r="D3" s="74"/>
      <c r="E3" s="71" t="s">
        <v>69</v>
      </c>
      <c r="F3" s="72" t="s">
        <v>71</v>
      </c>
      <c r="G3" s="71" t="s">
        <v>65</v>
      </c>
      <c r="H3" s="71" t="s">
        <v>15</v>
      </c>
    </row>
    <row r="4" spans="1:8" s="1" customFormat="1" ht="86.25" customHeight="1">
      <c r="A4" s="71"/>
      <c r="B4" s="71"/>
      <c r="C4" s="69" t="s">
        <v>74</v>
      </c>
      <c r="D4" s="69" t="s">
        <v>75</v>
      </c>
      <c r="E4" s="71"/>
      <c r="F4" s="72"/>
      <c r="G4" s="71"/>
      <c r="H4" s="71"/>
    </row>
    <row r="5" spans="1:8" s="2" customFormat="1" ht="16.5" customHeight="1">
      <c r="A5" s="17" t="s">
        <v>3</v>
      </c>
      <c r="B5" s="18">
        <f>B6+B13</f>
        <v>723104.333</v>
      </c>
      <c r="C5" s="18"/>
      <c r="D5" s="18">
        <f>D6+D13</f>
        <v>10508.649</v>
      </c>
      <c r="E5" s="18">
        <f>E6+E13</f>
        <v>220351.598</v>
      </c>
      <c r="F5" s="18">
        <f>F6+F13</f>
        <v>209114.833</v>
      </c>
      <c r="G5" s="19">
        <f aca="true" t="shared" si="0" ref="G5:G36">SUM(F5)/B5*100</f>
        <v>28.919040234820446</v>
      </c>
      <c r="H5" s="19">
        <f>SUM(F5)/E5*100</f>
        <v>94.90052938032245</v>
      </c>
    </row>
    <row r="6" spans="1:8" s="14" customFormat="1" ht="16.5" customHeight="1">
      <c r="A6" s="30" t="s">
        <v>32</v>
      </c>
      <c r="B6" s="25">
        <v>686763.894</v>
      </c>
      <c r="C6" s="25"/>
      <c r="D6" s="25">
        <v>5013.593</v>
      </c>
      <c r="E6" s="25">
        <v>220344.098</v>
      </c>
      <c r="F6" s="25">
        <v>209114.833</v>
      </c>
      <c r="G6" s="20">
        <f t="shared" si="0"/>
        <v>30.44930504165381</v>
      </c>
      <c r="H6" s="20">
        <f>SUM(F6)/E6*100</f>
        <v>94.90375957335604</v>
      </c>
    </row>
    <row r="7" spans="1:8" s="3" customFormat="1" ht="14.25" customHeight="1">
      <c r="A7" s="12" t="s">
        <v>1</v>
      </c>
      <c r="B7" s="11">
        <v>401715.273</v>
      </c>
      <c r="C7" s="11"/>
      <c r="D7" s="11"/>
      <c r="E7" s="11">
        <v>120186.961</v>
      </c>
      <c r="F7" s="11">
        <v>119445.879</v>
      </c>
      <c r="G7" s="20">
        <f t="shared" si="0"/>
        <v>29.733965081282832</v>
      </c>
      <c r="H7" s="20">
        <f aca="true" t="shared" si="1" ref="H7:H73">SUM(F7)/E7*100</f>
        <v>99.38339234652918</v>
      </c>
    </row>
    <row r="8" spans="1:8" s="3" customFormat="1" ht="15">
      <c r="A8" s="12" t="s">
        <v>27</v>
      </c>
      <c r="B8" s="11">
        <v>88410.024</v>
      </c>
      <c r="C8" s="11"/>
      <c r="D8" s="11"/>
      <c r="E8" s="11">
        <v>26773.191</v>
      </c>
      <c r="F8" s="11">
        <v>26642.094</v>
      </c>
      <c r="G8" s="20">
        <f t="shared" si="0"/>
        <v>30.134698300726626</v>
      </c>
      <c r="H8" s="20">
        <f t="shared" si="1"/>
        <v>99.51034226738233</v>
      </c>
    </row>
    <row r="9" spans="1:8" s="3" customFormat="1" ht="15">
      <c r="A9" s="12" t="s">
        <v>4</v>
      </c>
      <c r="B9" s="11">
        <v>153.271</v>
      </c>
      <c r="C9" s="11"/>
      <c r="D9" s="11"/>
      <c r="E9" s="11">
        <v>9.979</v>
      </c>
      <c r="F9" s="11">
        <v>6.933</v>
      </c>
      <c r="G9" s="20">
        <f t="shared" si="0"/>
        <v>4.523360583541571</v>
      </c>
      <c r="H9" s="20"/>
    </row>
    <row r="10" spans="1:8" s="3" customFormat="1" ht="15">
      <c r="A10" s="12" t="s">
        <v>5</v>
      </c>
      <c r="B10" s="11">
        <v>47933.507</v>
      </c>
      <c r="C10" s="11"/>
      <c r="D10" s="11"/>
      <c r="E10" s="11">
        <v>12763.281</v>
      </c>
      <c r="F10" s="11">
        <v>12085.143</v>
      </c>
      <c r="G10" s="20">
        <f t="shared" si="0"/>
        <v>25.212307123699507</v>
      </c>
      <c r="H10" s="20">
        <f t="shared" si="1"/>
        <v>94.68680506211528</v>
      </c>
    </row>
    <row r="11" spans="1:8" s="3" customFormat="1" ht="15">
      <c r="A11" s="12" t="s">
        <v>29</v>
      </c>
      <c r="B11" s="11">
        <v>92734.871</v>
      </c>
      <c r="C11" s="11"/>
      <c r="D11" s="11"/>
      <c r="E11" s="11">
        <v>44735.603</v>
      </c>
      <c r="F11" s="11">
        <v>40273.074</v>
      </c>
      <c r="G11" s="20">
        <f t="shared" si="0"/>
        <v>43.42818787120543</v>
      </c>
      <c r="H11" s="20">
        <f t="shared" si="1"/>
        <v>90.02465888299304</v>
      </c>
    </row>
    <row r="12" spans="1:8" s="3" customFormat="1" ht="15">
      <c r="A12" s="12" t="s">
        <v>13</v>
      </c>
      <c r="B12" s="11">
        <f>SUM(B6)-B7-B8-B9-B10-B11</f>
        <v>55816.94799999996</v>
      </c>
      <c r="C12" s="11"/>
      <c r="D12" s="11">
        <v>5013.593</v>
      </c>
      <c r="E12" s="11">
        <f>SUM(E6)-E7-E8-E9-E10-E11</f>
        <v>15875.082999999984</v>
      </c>
      <c r="F12" s="11">
        <f>SUM(F6)-F7-F8-F9-F10-F11</f>
        <v>10661.710000000014</v>
      </c>
      <c r="G12" s="20">
        <f t="shared" si="0"/>
        <v>19.101205605150646</v>
      </c>
      <c r="H12" s="20">
        <f t="shared" si="1"/>
        <v>67.16002681686783</v>
      </c>
    </row>
    <row r="13" spans="1:8" s="3" customFormat="1" ht="15">
      <c r="A13" s="30" t="s">
        <v>14</v>
      </c>
      <c r="B13" s="25">
        <f>36340.439</f>
        <v>36340.439</v>
      </c>
      <c r="C13" s="25"/>
      <c r="D13" s="25">
        <v>5495.056</v>
      </c>
      <c r="E13" s="25">
        <v>7.5</v>
      </c>
      <c r="F13" s="25"/>
      <c r="G13" s="20">
        <f t="shared" si="0"/>
        <v>0</v>
      </c>
      <c r="H13" s="20">
        <f t="shared" si="1"/>
        <v>0</v>
      </c>
    </row>
    <row r="14" spans="1:8" s="2" customFormat="1" ht="14.25">
      <c r="A14" s="17" t="s">
        <v>6</v>
      </c>
      <c r="B14" s="18">
        <f>B15+B22</f>
        <v>390165.85000000003</v>
      </c>
      <c r="C14" s="18"/>
      <c r="D14" s="18">
        <f>D15+D22</f>
        <v>5468.08</v>
      </c>
      <c r="E14" s="18">
        <f>E15+E22</f>
        <v>121855.846</v>
      </c>
      <c r="F14" s="18">
        <f>F15+F22</f>
        <v>111792.67000000001</v>
      </c>
      <c r="G14" s="19">
        <f t="shared" si="0"/>
        <v>28.65260247661347</v>
      </c>
      <c r="H14" s="19">
        <f t="shared" si="1"/>
        <v>91.7417371998714</v>
      </c>
    </row>
    <row r="15" spans="1:8" s="14" customFormat="1" ht="15">
      <c r="A15" s="30" t="s">
        <v>31</v>
      </c>
      <c r="B15" s="25">
        <f>349358.412+25271+830.938</f>
        <v>375460.35000000003</v>
      </c>
      <c r="C15" s="25"/>
      <c r="D15" s="25">
        <f>SUM(D18:D21)</f>
        <v>5468.08</v>
      </c>
      <c r="E15" s="25">
        <f>113237.133+8396.6+222.113</f>
        <v>121855.846</v>
      </c>
      <c r="F15" s="25">
        <f>103396.07+8396.6</f>
        <v>111792.67000000001</v>
      </c>
      <c r="G15" s="20">
        <f t="shared" si="0"/>
        <v>29.774827088932295</v>
      </c>
      <c r="H15" s="20">
        <f>SUM(F15)/E15*100</f>
        <v>91.7417371998714</v>
      </c>
    </row>
    <row r="16" spans="1:8" s="3" customFormat="1" ht="15">
      <c r="A16" s="12" t="s">
        <v>1</v>
      </c>
      <c r="B16" s="11">
        <v>221602.052</v>
      </c>
      <c r="C16" s="11"/>
      <c r="D16" s="11"/>
      <c r="E16" s="11">
        <v>67662.832</v>
      </c>
      <c r="F16" s="11">
        <v>64755.366</v>
      </c>
      <c r="G16" s="20">
        <f t="shared" si="0"/>
        <v>29.22146497091101</v>
      </c>
      <c r="H16" s="20">
        <f t="shared" si="1"/>
        <v>95.70300870646385</v>
      </c>
    </row>
    <row r="17" spans="1:8" s="3" customFormat="1" ht="15">
      <c r="A17" s="12" t="s">
        <v>27</v>
      </c>
      <c r="B17" s="11">
        <v>48752.452</v>
      </c>
      <c r="C17" s="11"/>
      <c r="D17" s="11"/>
      <c r="E17" s="11">
        <v>14835.122</v>
      </c>
      <c r="F17" s="11">
        <v>14093.111</v>
      </c>
      <c r="G17" s="20">
        <f t="shared" si="0"/>
        <v>28.907491668316503</v>
      </c>
      <c r="H17" s="20">
        <f t="shared" si="1"/>
        <v>94.99828178022399</v>
      </c>
    </row>
    <row r="18" spans="1:8" s="3" customFormat="1" ht="15">
      <c r="A18" s="12" t="s">
        <v>4</v>
      </c>
      <c r="B18" s="11">
        <v>15177.439</v>
      </c>
      <c r="C18" s="11"/>
      <c r="D18" s="11">
        <v>1483.851</v>
      </c>
      <c r="E18" s="11">
        <v>4693.495</v>
      </c>
      <c r="F18" s="11">
        <f>3853.354+66.374</f>
        <v>3919.7279999999996</v>
      </c>
      <c r="G18" s="20">
        <f t="shared" si="0"/>
        <v>25.826017156122315</v>
      </c>
      <c r="H18" s="20">
        <f t="shared" si="1"/>
        <v>83.5140550911421</v>
      </c>
    </row>
    <row r="19" spans="1:8" s="3" customFormat="1" ht="15">
      <c r="A19" s="12" t="s">
        <v>5</v>
      </c>
      <c r="B19" s="11">
        <v>6270.712</v>
      </c>
      <c r="C19" s="11"/>
      <c r="D19" s="11">
        <v>475.032</v>
      </c>
      <c r="E19" s="11">
        <v>2319.402</v>
      </c>
      <c r="F19" s="11">
        <f>1556.058+129.311</f>
        <v>1685.369</v>
      </c>
      <c r="G19" s="20">
        <f t="shared" si="0"/>
        <v>26.876836314600318</v>
      </c>
      <c r="H19" s="20">
        <f t="shared" si="1"/>
        <v>72.66394527554947</v>
      </c>
    </row>
    <row r="20" spans="1:8" s="3" customFormat="1" ht="15">
      <c r="A20" s="12" t="s">
        <v>29</v>
      </c>
      <c r="B20" s="11">
        <v>36131.055</v>
      </c>
      <c r="C20" s="11"/>
      <c r="D20" s="11">
        <v>383.728</v>
      </c>
      <c r="E20" s="11">
        <v>16645.28</v>
      </c>
      <c r="F20" s="11">
        <v>14315.735</v>
      </c>
      <c r="G20" s="20">
        <f t="shared" si="0"/>
        <v>39.62169109094656</v>
      </c>
      <c r="H20" s="20">
        <f t="shared" si="1"/>
        <v>86.00477132256113</v>
      </c>
    </row>
    <row r="21" spans="1:8" s="3" customFormat="1" ht="15">
      <c r="A21" s="51" t="s">
        <v>13</v>
      </c>
      <c r="B21" s="11">
        <f>SUM(B15)-B16-B17-B18-B19-B20</f>
        <v>47526.64000000005</v>
      </c>
      <c r="C21" s="11"/>
      <c r="D21" s="11">
        <v>3125.469</v>
      </c>
      <c r="E21" s="11">
        <f>SUM(E15)-E16-E17-E18-E19-E20</f>
        <v>15699.715000000004</v>
      </c>
      <c r="F21" s="11">
        <f>SUM(F15)-F16-F17-F18-F19-F20</f>
        <v>13023.361000000015</v>
      </c>
      <c r="G21" s="20">
        <f t="shared" si="0"/>
        <v>27.402233778781753</v>
      </c>
      <c r="H21" s="20">
        <f t="shared" si="1"/>
        <v>82.95284978103113</v>
      </c>
    </row>
    <row r="22" spans="1:8" s="3" customFormat="1" ht="15">
      <c r="A22" s="52" t="s">
        <v>14</v>
      </c>
      <c r="B22" s="25">
        <v>14705.5</v>
      </c>
      <c r="C22" s="25"/>
      <c r="D22" s="25"/>
      <c r="E22" s="25"/>
      <c r="F22" s="25"/>
      <c r="G22" s="20">
        <f t="shared" si="0"/>
        <v>0</v>
      </c>
      <c r="H22" s="20" t="e">
        <f t="shared" si="1"/>
        <v>#DIV/0!</v>
      </c>
    </row>
    <row r="23" spans="1:8" s="2" customFormat="1" ht="28.5">
      <c r="A23" s="17" t="s">
        <v>26</v>
      </c>
      <c r="B23" s="18">
        <f>B24+B34</f>
        <v>686839.8130000001</v>
      </c>
      <c r="C23" s="18"/>
      <c r="D23" s="18"/>
      <c r="E23" s="18">
        <f>E24+E34</f>
        <v>296155.63</v>
      </c>
      <c r="F23" s="18">
        <f>F24+F34</f>
        <v>270578.674</v>
      </c>
      <c r="G23" s="19">
        <f t="shared" si="0"/>
        <v>39.394727690312266</v>
      </c>
      <c r="H23" s="19">
        <f t="shared" si="1"/>
        <v>91.36367726657771</v>
      </c>
    </row>
    <row r="24" spans="1:8" s="14" customFormat="1" ht="15">
      <c r="A24" s="30" t="s">
        <v>31</v>
      </c>
      <c r="B24" s="25">
        <v>682897.077</v>
      </c>
      <c r="C24" s="25"/>
      <c r="D24" s="25"/>
      <c r="E24" s="25">
        <v>296155.63</v>
      </c>
      <c r="F24" s="25">
        <v>270578.674</v>
      </c>
      <c r="G24" s="20">
        <f t="shared" si="0"/>
        <v>39.62217486545194</v>
      </c>
      <c r="H24" s="20">
        <f>SUM(F24)/E24*100</f>
        <v>91.36367726657771</v>
      </c>
    </row>
    <row r="25" spans="1:8" s="3" customFormat="1" ht="15">
      <c r="A25" s="12" t="s">
        <v>1</v>
      </c>
      <c r="B25" s="11">
        <f>14660.587+636.762</f>
        <v>15297.349</v>
      </c>
      <c r="C25" s="11"/>
      <c r="D25" s="11"/>
      <c r="E25" s="11">
        <v>4759.836</v>
      </c>
      <c r="F25" s="11">
        <v>4531.222</v>
      </c>
      <c r="G25" s="20">
        <f t="shared" si="0"/>
        <v>29.620962429503304</v>
      </c>
      <c r="H25" s="20">
        <f t="shared" si="1"/>
        <v>95.19701939310514</v>
      </c>
    </row>
    <row r="26" spans="1:8" s="3" customFormat="1" ht="15">
      <c r="A26" s="12" t="s">
        <v>27</v>
      </c>
      <c r="B26" s="11">
        <f>3215.852+140.256</f>
        <v>3356.1079999999997</v>
      </c>
      <c r="C26" s="11"/>
      <c r="D26" s="11"/>
      <c r="E26" s="11">
        <v>1039.276</v>
      </c>
      <c r="F26" s="11">
        <v>987.556</v>
      </c>
      <c r="G26" s="20">
        <f t="shared" si="0"/>
        <v>29.42563230980648</v>
      </c>
      <c r="H26" s="20">
        <f t="shared" si="1"/>
        <v>95.02345863851373</v>
      </c>
    </row>
    <row r="27" spans="1:8" s="3" customFormat="1" ht="15">
      <c r="A27" s="12" t="s">
        <v>4</v>
      </c>
      <c r="B27" s="11">
        <v>72.57</v>
      </c>
      <c r="C27" s="11"/>
      <c r="D27" s="11"/>
      <c r="E27" s="11">
        <v>17.2</v>
      </c>
      <c r="F27" s="11">
        <v>17.2</v>
      </c>
      <c r="G27" s="20">
        <f t="shared" si="0"/>
        <v>23.701253961692164</v>
      </c>
      <c r="H27" s="20">
        <f t="shared" si="1"/>
        <v>100</v>
      </c>
    </row>
    <row r="28" spans="1:8" s="3" customFormat="1" ht="15">
      <c r="A28" s="12" t="s">
        <v>5</v>
      </c>
      <c r="B28" s="11">
        <v>259.017</v>
      </c>
      <c r="C28" s="11"/>
      <c r="D28" s="11"/>
      <c r="E28" s="11">
        <v>77.238</v>
      </c>
      <c r="F28" s="11">
        <v>77.238</v>
      </c>
      <c r="G28" s="20">
        <f t="shared" si="0"/>
        <v>29.819664346355644</v>
      </c>
      <c r="H28" s="20">
        <f t="shared" si="1"/>
        <v>100</v>
      </c>
    </row>
    <row r="29" spans="1:8" s="3" customFormat="1" ht="15">
      <c r="A29" s="12" t="s">
        <v>29</v>
      </c>
      <c r="B29" s="11">
        <v>1309.543</v>
      </c>
      <c r="C29" s="11"/>
      <c r="D29" s="11"/>
      <c r="E29" s="11">
        <v>712.001</v>
      </c>
      <c r="F29" s="11">
        <v>531.264</v>
      </c>
      <c r="G29" s="20">
        <f t="shared" si="0"/>
        <v>40.56865639387176</v>
      </c>
      <c r="H29" s="20">
        <f t="shared" si="1"/>
        <v>74.61562553985178</v>
      </c>
    </row>
    <row r="30" spans="1:8" s="3" customFormat="1" ht="15">
      <c r="A30" s="12" t="s">
        <v>13</v>
      </c>
      <c r="B30" s="11">
        <f>SUM(B24)-B25-B26-B27-B28-B29</f>
        <v>662602.4900000001</v>
      </c>
      <c r="C30" s="11"/>
      <c r="D30" s="11"/>
      <c r="E30" s="11">
        <f>SUM(E24)-E25-E26-E27-E28-E29</f>
        <v>289550.07899999997</v>
      </c>
      <c r="F30" s="11">
        <f>SUM(F24)-F25-F26-F27-F28-F29</f>
        <v>264434.19399999996</v>
      </c>
      <c r="G30" s="20">
        <f t="shared" si="0"/>
        <v>39.90842141266326</v>
      </c>
      <c r="H30" s="20">
        <f t="shared" si="1"/>
        <v>91.32589254102741</v>
      </c>
    </row>
    <row r="31" spans="1:8" s="3" customFormat="1" ht="15">
      <c r="A31" s="12" t="s">
        <v>18</v>
      </c>
      <c r="B31" s="11">
        <f>SUM(B32:B33)</f>
        <v>639599.8</v>
      </c>
      <c r="C31" s="11"/>
      <c r="D31" s="11"/>
      <c r="E31" s="11">
        <f>SUM(E32:E33)</f>
        <v>282824.381</v>
      </c>
      <c r="F31" s="11">
        <f>SUM(F32:F33)</f>
        <v>258822.45500000002</v>
      </c>
      <c r="G31" s="20">
        <f t="shared" si="0"/>
        <v>40.46631268490078</v>
      </c>
      <c r="H31" s="20">
        <f>SUM(F31)/E31*100</f>
        <v>91.51348765791165</v>
      </c>
    </row>
    <row r="32" spans="1:8" s="3" customFormat="1" ht="30">
      <c r="A32" s="13" t="s">
        <v>22</v>
      </c>
      <c r="B32" s="11">
        <v>424514.7</v>
      </c>
      <c r="C32" s="11"/>
      <c r="D32" s="11"/>
      <c r="E32" s="11">
        <v>143157.422</v>
      </c>
      <c r="F32" s="67">
        <v>143157.35</v>
      </c>
      <c r="G32" s="20">
        <f t="shared" si="0"/>
        <v>33.72258958288135</v>
      </c>
      <c r="H32" s="20">
        <f>SUM(F32)/E32*100</f>
        <v>99.99994970571629</v>
      </c>
    </row>
    <row r="33" spans="1:8" s="3" customFormat="1" ht="15">
      <c r="A33" s="13" t="s">
        <v>19</v>
      </c>
      <c r="B33" s="11">
        <v>215085.1</v>
      </c>
      <c r="C33" s="11"/>
      <c r="D33" s="11"/>
      <c r="E33" s="11">
        <v>139666.959</v>
      </c>
      <c r="F33" s="11">
        <v>115665.105</v>
      </c>
      <c r="G33" s="20">
        <f t="shared" si="0"/>
        <v>53.77643779136723</v>
      </c>
      <c r="H33" s="20">
        <f>SUM(F33)/E33*100</f>
        <v>82.81493764033338</v>
      </c>
    </row>
    <row r="34" spans="1:8" s="3" customFormat="1" ht="15">
      <c r="A34" s="30" t="s">
        <v>14</v>
      </c>
      <c r="B34" s="25">
        <v>3942.736</v>
      </c>
      <c r="C34" s="25"/>
      <c r="D34" s="25"/>
      <c r="E34" s="25">
        <v>0</v>
      </c>
      <c r="F34" s="25">
        <v>0</v>
      </c>
      <c r="G34" s="20">
        <f t="shared" si="0"/>
        <v>0</v>
      </c>
      <c r="H34" s="20" t="e">
        <f>SUM(F34)/E34*100</f>
        <v>#DIV/0!</v>
      </c>
    </row>
    <row r="35" spans="1:8" s="2" customFormat="1" ht="14.25">
      <c r="A35" s="17" t="s">
        <v>7</v>
      </c>
      <c r="B35" s="18">
        <f>B36+B41</f>
        <v>96848.568</v>
      </c>
      <c r="C35" s="18"/>
      <c r="D35" s="18"/>
      <c r="E35" s="18">
        <f>E36+E41</f>
        <v>28353.664</v>
      </c>
      <c r="F35" s="18">
        <f>F36+F41</f>
        <v>25472.007</v>
      </c>
      <c r="G35" s="19">
        <f t="shared" si="0"/>
        <v>26.300860741689025</v>
      </c>
      <c r="H35" s="19">
        <f>SUM(F35)/E35*100</f>
        <v>89.83673856049082</v>
      </c>
    </row>
    <row r="36" spans="1:8" s="14" customFormat="1" ht="15">
      <c r="A36" s="30" t="s">
        <v>31</v>
      </c>
      <c r="B36" s="25">
        <v>87280</v>
      </c>
      <c r="C36" s="25"/>
      <c r="D36" s="25"/>
      <c r="E36" s="25">
        <v>28353.664</v>
      </c>
      <c r="F36" s="25">
        <v>25472.007</v>
      </c>
      <c r="G36" s="20">
        <f t="shared" si="0"/>
        <v>29.184242667277726</v>
      </c>
      <c r="H36" s="20">
        <f t="shared" si="1"/>
        <v>89.83673856049082</v>
      </c>
    </row>
    <row r="37" spans="1:8" s="3" customFormat="1" ht="15">
      <c r="A37" s="12" t="s">
        <v>1</v>
      </c>
      <c r="B37" s="11">
        <v>40460.715</v>
      </c>
      <c r="C37" s="11"/>
      <c r="D37" s="11"/>
      <c r="E37" s="11">
        <v>11838.132</v>
      </c>
      <c r="F37" s="11">
        <v>11704.53</v>
      </c>
      <c r="G37" s="20">
        <f aca="true" t="shared" si="2" ref="G37:G68">SUM(F37)/B37*100</f>
        <v>28.928134364407555</v>
      </c>
      <c r="H37" s="20">
        <f>SUM(F37)/E37*100</f>
        <v>98.87142667441114</v>
      </c>
    </row>
    <row r="38" spans="1:8" s="3" customFormat="1" ht="15">
      <c r="A38" s="12" t="s">
        <v>27</v>
      </c>
      <c r="B38" s="11">
        <v>8901.357</v>
      </c>
      <c r="C38" s="11"/>
      <c r="D38" s="11"/>
      <c r="E38" s="11">
        <v>2630.284</v>
      </c>
      <c r="F38" s="11">
        <v>2599.975</v>
      </c>
      <c r="G38" s="20">
        <f t="shared" si="2"/>
        <v>29.208748733479624</v>
      </c>
      <c r="H38" s="20">
        <f t="shared" si="1"/>
        <v>98.84769097177339</v>
      </c>
    </row>
    <row r="39" spans="1:8" s="3" customFormat="1" ht="15">
      <c r="A39" s="12" t="s">
        <v>29</v>
      </c>
      <c r="B39" s="11">
        <v>6464.382</v>
      </c>
      <c r="C39" s="11"/>
      <c r="D39" s="11"/>
      <c r="E39" s="11">
        <v>3236.03</v>
      </c>
      <c r="F39" s="11">
        <v>2810.431</v>
      </c>
      <c r="G39" s="20">
        <f t="shared" si="2"/>
        <v>43.47563309222753</v>
      </c>
      <c r="H39" s="20">
        <f t="shared" si="1"/>
        <v>86.84811327459882</v>
      </c>
    </row>
    <row r="40" spans="1:8" s="3" customFormat="1" ht="15">
      <c r="A40" s="12" t="s">
        <v>13</v>
      </c>
      <c r="B40" s="11">
        <f>SUM(B36)-B37-B38-B39</f>
        <v>31453.546000000002</v>
      </c>
      <c r="C40" s="11"/>
      <c r="D40" s="11"/>
      <c r="E40" s="11">
        <f>SUM(E36)-E37-E38-E39</f>
        <v>10649.217999999999</v>
      </c>
      <c r="F40" s="11">
        <f>SUM(F36)-F37-F38-F39</f>
        <v>8357.071</v>
      </c>
      <c r="G40" s="20">
        <f t="shared" si="2"/>
        <v>26.569567068844957</v>
      </c>
      <c r="H40" s="20">
        <f t="shared" si="1"/>
        <v>78.47591250362234</v>
      </c>
    </row>
    <row r="41" spans="1:8" s="3" customFormat="1" ht="15">
      <c r="A41" s="30" t="s">
        <v>14</v>
      </c>
      <c r="B41" s="25">
        <v>9568.568</v>
      </c>
      <c r="C41" s="25"/>
      <c r="D41" s="25"/>
      <c r="E41" s="25"/>
      <c r="F41" s="25"/>
      <c r="G41" s="20">
        <f t="shared" si="2"/>
        <v>0</v>
      </c>
      <c r="H41" s="20" t="e">
        <f t="shared" si="1"/>
        <v>#DIV/0!</v>
      </c>
    </row>
    <row r="42" spans="1:8" s="2" customFormat="1" ht="14.25">
      <c r="A42" s="17" t="s">
        <v>8</v>
      </c>
      <c r="B42" s="18">
        <f>B43+B48</f>
        <v>54607.354999999996</v>
      </c>
      <c r="C42" s="18"/>
      <c r="D42" s="18"/>
      <c r="E42" s="18">
        <f>E43+E48</f>
        <v>17919.11</v>
      </c>
      <c r="F42" s="18">
        <f>F43+F48</f>
        <v>14207.133</v>
      </c>
      <c r="G42" s="19">
        <f t="shared" si="2"/>
        <v>26.016885454349513</v>
      </c>
      <c r="H42" s="19">
        <f t="shared" si="1"/>
        <v>79.28481381050733</v>
      </c>
    </row>
    <row r="43" spans="1:8" s="14" customFormat="1" ht="15">
      <c r="A43" s="30" t="s">
        <v>31</v>
      </c>
      <c r="B43" s="25">
        <v>51069.062</v>
      </c>
      <c r="C43" s="25"/>
      <c r="D43" s="25"/>
      <c r="E43" s="25">
        <v>17919.11</v>
      </c>
      <c r="F43" s="25">
        <v>14207.133</v>
      </c>
      <c r="G43" s="20">
        <f t="shared" si="2"/>
        <v>27.819451628071807</v>
      </c>
      <c r="H43" s="20">
        <f t="shared" si="1"/>
        <v>79.28481381050733</v>
      </c>
    </row>
    <row r="44" spans="1:8" s="3" customFormat="1" ht="15">
      <c r="A44" s="12" t="s">
        <v>1</v>
      </c>
      <c r="B44" s="11">
        <v>24685.189</v>
      </c>
      <c r="C44" s="11"/>
      <c r="D44" s="11"/>
      <c r="E44" s="11">
        <v>7489.884</v>
      </c>
      <c r="F44" s="11">
        <v>7202.997</v>
      </c>
      <c r="G44" s="20">
        <f t="shared" si="2"/>
        <v>29.179428198828056</v>
      </c>
      <c r="H44" s="20">
        <f>SUM(F44)/E44*100</f>
        <v>96.16967365582698</v>
      </c>
    </row>
    <row r="45" spans="1:8" s="3" customFormat="1" ht="15">
      <c r="A45" s="12" t="s">
        <v>27</v>
      </c>
      <c r="B45" s="11">
        <v>5430.741</v>
      </c>
      <c r="C45" s="11"/>
      <c r="D45" s="11"/>
      <c r="E45" s="11">
        <v>1648.118</v>
      </c>
      <c r="F45" s="11">
        <v>1585.727</v>
      </c>
      <c r="G45" s="20">
        <f t="shared" si="2"/>
        <v>29.19909087912681</v>
      </c>
      <c r="H45" s="20">
        <f t="shared" si="1"/>
        <v>96.21440940515183</v>
      </c>
    </row>
    <row r="46" spans="1:8" s="3" customFormat="1" ht="15">
      <c r="A46" s="12" t="s">
        <v>29</v>
      </c>
      <c r="B46" s="11">
        <v>4194.121</v>
      </c>
      <c r="C46" s="11"/>
      <c r="D46" s="11"/>
      <c r="E46" s="11">
        <v>2127.343</v>
      </c>
      <c r="F46" s="11">
        <v>1450.027</v>
      </c>
      <c r="G46" s="20">
        <f t="shared" si="2"/>
        <v>34.57284613390982</v>
      </c>
      <c r="H46" s="20">
        <f t="shared" si="1"/>
        <v>68.16141073630347</v>
      </c>
    </row>
    <row r="47" spans="1:8" s="3" customFormat="1" ht="15">
      <c r="A47" s="12" t="s">
        <v>13</v>
      </c>
      <c r="B47" s="11">
        <f>SUM(B43)-B44-B45-B46</f>
        <v>16759.011</v>
      </c>
      <c r="C47" s="11"/>
      <c r="D47" s="11"/>
      <c r="E47" s="11">
        <f>SUM(E43)-E44-E45-E46</f>
        <v>6653.765</v>
      </c>
      <c r="F47" s="11">
        <f>SUM(F43)-F44-F45-F46</f>
        <v>3968.3819999999996</v>
      </c>
      <c r="G47" s="20">
        <f t="shared" si="2"/>
        <v>23.679094189985317</v>
      </c>
      <c r="H47" s="20">
        <f t="shared" si="1"/>
        <v>59.64115053657591</v>
      </c>
    </row>
    <row r="48" spans="1:8" s="3" customFormat="1" ht="15">
      <c r="A48" s="30" t="s">
        <v>14</v>
      </c>
      <c r="B48" s="25">
        <v>3538.293</v>
      </c>
      <c r="C48" s="25"/>
      <c r="D48" s="25"/>
      <c r="E48" s="25"/>
      <c r="F48" s="25"/>
      <c r="G48" s="20">
        <f t="shared" si="2"/>
        <v>0</v>
      </c>
      <c r="H48" s="20" t="e">
        <f t="shared" si="1"/>
        <v>#DIV/0!</v>
      </c>
    </row>
    <row r="49" spans="1:8" s="3" customFormat="1" ht="14.25">
      <c r="A49" s="17" t="s">
        <v>0</v>
      </c>
      <c r="B49" s="18">
        <f>B50+B55</f>
        <v>90568.01</v>
      </c>
      <c r="C49" s="18"/>
      <c r="D49" s="18"/>
      <c r="E49" s="18">
        <f>E50+E55</f>
        <v>24991.556</v>
      </c>
      <c r="F49" s="18">
        <f>F50+F55</f>
        <v>22832.862</v>
      </c>
      <c r="G49" s="19">
        <f t="shared" si="2"/>
        <v>25.210736108698867</v>
      </c>
      <c r="H49" s="19">
        <f t="shared" si="1"/>
        <v>91.36230653265447</v>
      </c>
    </row>
    <row r="50" spans="1:8" s="3" customFormat="1" ht="15">
      <c r="A50" s="30" t="s">
        <v>31</v>
      </c>
      <c r="B50" s="25">
        <v>82568.01</v>
      </c>
      <c r="C50" s="25"/>
      <c r="D50" s="25"/>
      <c r="E50" s="25">
        <v>24991.556</v>
      </c>
      <c r="F50" s="25">
        <v>22832.862</v>
      </c>
      <c r="G50" s="20">
        <f t="shared" si="2"/>
        <v>27.653399906331767</v>
      </c>
      <c r="H50" s="20">
        <f t="shared" si="1"/>
        <v>91.36230653265447</v>
      </c>
    </row>
    <row r="51" spans="1:8" s="3" customFormat="1" ht="15">
      <c r="A51" s="12" t="s">
        <v>1</v>
      </c>
      <c r="B51" s="11">
        <v>50916.2</v>
      </c>
      <c r="C51" s="11"/>
      <c r="D51" s="11"/>
      <c r="E51" s="11">
        <v>14916.42</v>
      </c>
      <c r="F51" s="11">
        <v>14688.233</v>
      </c>
      <c r="G51" s="20">
        <f t="shared" si="2"/>
        <v>28.847857852706998</v>
      </c>
      <c r="H51" s="20">
        <f>SUM(F51)/E51*100</f>
        <v>98.47022945183897</v>
      </c>
    </row>
    <row r="52" spans="1:8" s="3" customFormat="1" ht="15">
      <c r="A52" s="12" t="s">
        <v>27</v>
      </c>
      <c r="B52" s="11">
        <v>11270.743</v>
      </c>
      <c r="C52" s="11"/>
      <c r="D52" s="11"/>
      <c r="E52" s="11">
        <v>3308.162</v>
      </c>
      <c r="F52" s="11">
        <v>3221.774</v>
      </c>
      <c r="G52" s="20">
        <f t="shared" si="2"/>
        <v>28.585284927533174</v>
      </c>
      <c r="H52" s="20">
        <f t="shared" si="1"/>
        <v>97.38864058047943</v>
      </c>
    </row>
    <row r="53" spans="1:8" s="3" customFormat="1" ht="15">
      <c r="A53" s="12" t="s">
        <v>29</v>
      </c>
      <c r="B53" s="11">
        <v>4798.274</v>
      </c>
      <c r="C53" s="11"/>
      <c r="D53" s="11"/>
      <c r="E53" s="11">
        <v>2189.936</v>
      </c>
      <c r="F53" s="11">
        <v>1943.843</v>
      </c>
      <c r="G53" s="20">
        <f t="shared" si="2"/>
        <v>40.51129635364716</v>
      </c>
      <c r="H53" s="20">
        <f t="shared" si="1"/>
        <v>88.76254831191413</v>
      </c>
    </row>
    <row r="54" spans="1:8" s="3" customFormat="1" ht="15">
      <c r="A54" s="12" t="s">
        <v>13</v>
      </c>
      <c r="B54" s="11">
        <f>SUM(B50)-B51-B52-B53</f>
        <v>15582.792999999994</v>
      </c>
      <c r="C54" s="11"/>
      <c r="D54" s="11"/>
      <c r="E54" s="11">
        <f>SUM(E50)-E51-E52-E53</f>
        <v>4577.0380000000005</v>
      </c>
      <c r="F54" s="11">
        <f>SUM(F50)-F51-F52-F53</f>
        <v>2979.0120000000015</v>
      </c>
      <c r="G54" s="20">
        <f t="shared" si="2"/>
        <v>19.117317415433824</v>
      </c>
      <c r="H54" s="20">
        <f t="shared" si="1"/>
        <v>65.08602288204732</v>
      </c>
    </row>
    <row r="55" spans="1:8" s="3" customFormat="1" ht="15">
      <c r="A55" s="30" t="s">
        <v>14</v>
      </c>
      <c r="B55" s="25">
        <v>8000</v>
      </c>
      <c r="C55" s="25"/>
      <c r="D55" s="25"/>
      <c r="E55" s="25"/>
      <c r="F55" s="25"/>
      <c r="G55" s="20">
        <f t="shared" si="2"/>
        <v>0</v>
      </c>
      <c r="H55" s="20" t="e">
        <f t="shared" si="1"/>
        <v>#DIV/0!</v>
      </c>
    </row>
    <row r="56" spans="1:8" s="3" customFormat="1" ht="14.25" customHeight="1">
      <c r="A56" s="21" t="s">
        <v>9</v>
      </c>
      <c r="B56" s="22">
        <f>B57+B60</f>
        <v>305789.555</v>
      </c>
      <c r="C56" s="22"/>
      <c r="D56" s="22"/>
      <c r="E56" s="22">
        <f>E57+E60</f>
        <v>39980.425</v>
      </c>
      <c r="F56" s="22">
        <f>F57+F60</f>
        <v>27886.121000000003</v>
      </c>
      <c r="G56" s="19">
        <f t="shared" si="2"/>
        <v>9.119383099923084</v>
      </c>
      <c r="H56" s="19">
        <f t="shared" si="1"/>
        <v>69.74943613030628</v>
      </c>
    </row>
    <row r="57" spans="1:8" s="3" customFormat="1" ht="14.25" customHeight="1">
      <c r="A57" s="30" t="s">
        <v>31</v>
      </c>
      <c r="B57" s="25">
        <v>179219.877</v>
      </c>
      <c r="C57" s="25"/>
      <c r="D57" s="25"/>
      <c r="E57" s="25">
        <v>34980.425</v>
      </c>
      <c r="F57" s="25">
        <v>27672.739</v>
      </c>
      <c r="G57" s="20">
        <f t="shared" si="2"/>
        <v>15.440663983939684</v>
      </c>
      <c r="H57" s="20">
        <f t="shared" si="1"/>
        <v>79.10921322425327</v>
      </c>
    </row>
    <row r="58" spans="1:8" s="3" customFormat="1" ht="15">
      <c r="A58" s="12" t="s">
        <v>29</v>
      </c>
      <c r="B58" s="11">
        <v>20033.7</v>
      </c>
      <c r="C58" s="11"/>
      <c r="D58" s="11"/>
      <c r="E58" s="11">
        <v>6676.392</v>
      </c>
      <c r="F58" s="11">
        <v>6649.78</v>
      </c>
      <c r="G58" s="20">
        <f t="shared" si="2"/>
        <v>33.192969845809806</v>
      </c>
      <c r="H58" s="20">
        <f>SUM(F58)/E58*100</f>
        <v>99.6014014755275</v>
      </c>
    </row>
    <row r="59" spans="1:8" s="3" customFormat="1" ht="15">
      <c r="A59" s="12" t="s">
        <v>13</v>
      </c>
      <c r="B59" s="11">
        <f>SUM(B57)-B58</f>
        <v>159186.177</v>
      </c>
      <c r="C59" s="11"/>
      <c r="D59" s="11"/>
      <c r="E59" s="11">
        <f>SUM(E57)-E58</f>
        <v>28304.033000000003</v>
      </c>
      <c r="F59" s="11">
        <f>SUM(F57)-F58</f>
        <v>21022.959000000003</v>
      </c>
      <c r="G59" s="20">
        <f t="shared" si="2"/>
        <v>13.206522950796163</v>
      </c>
      <c r="H59" s="20">
        <f t="shared" si="1"/>
        <v>74.27548929157905</v>
      </c>
    </row>
    <row r="60" spans="1:8" s="3" customFormat="1" ht="15">
      <c r="A60" s="30" t="s">
        <v>14</v>
      </c>
      <c r="B60" s="25">
        <f>2465+124104.678</f>
        <v>126569.678</v>
      </c>
      <c r="C60" s="25"/>
      <c r="D60" s="25"/>
      <c r="E60" s="25">
        <f>2500+35+2465</f>
        <v>5000</v>
      </c>
      <c r="F60" s="25">
        <v>213.382</v>
      </c>
      <c r="G60" s="20">
        <f t="shared" si="2"/>
        <v>0.16858856194609265</v>
      </c>
      <c r="H60" s="20">
        <f t="shared" si="1"/>
        <v>4.26764</v>
      </c>
    </row>
    <row r="61" spans="1:8" s="3" customFormat="1" ht="17.25" customHeight="1">
      <c r="A61" s="21" t="s">
        <v>21</v>
      </c>
      <c r="B61" s="22">
        <f>SUM(B62)</f>
        <v>98566.859</v>
      </c>
      <c r="C61" s="22"/>
      <c r="D61" s="22"/>
      <c r="E61" s="22">
        <f>SUM(E62)</f>
        <v>0</v>
      </c>
      <c r="F61" s="22">
        <f>SUM(F62)</f>
        <v>0</v>
      </c>
      <c r="G61" s="20">
        <f t="shared" si="2"/>
        <v>0</v>
      </c>
      <c r="H61" s="20" t="e">
        <f t="shared" si="1"/>
        <v>#DIV/0!</v>
      </c>
    </row>
    <row r="62" spans="1:8" s="3" customFormat="1" ht="15">
      <c r="A62" s="30" t="s">
        <v>14</v>
      </c>
      <c r="B62" s="25">
        <v>98566.859</v>
      </c>
      <c r="C62" s="25"/>
      <c r="D62" s="25"/>
      <c r="E62" s="25"/>
      <c r="F62" s="25"/>
      <c r="G62" s="20">
        <f t="shared" si="2"/>
        <v>0</v>
      </c>
      <c r="H62" s="20" t="e">
        <f t="shared" si="1"/>
        <v>#DIV/0!</v>
      </c>
    </row>
    <row r="63" spans="1:8" s="3" customFormat="1" ht="15" customHeight="1">
      <c r="A63" s="23" t="s">
        <v>16</v>
      </c>
      <c r="B63" s="22">
        <f>SUM(B64:B65)</f>
        <v>192940.72999999998</v>
      </c>
      <c r="C63" s="22"/>
      <c r="D63" s="22"/>
      <c r="E63" s="22">
        <f>SUM(E64:E65)</f>
        <v>17923.031</v>
      </c>
      <c r="F63" s="22">
        <f>SUM(F64:F65)</f>
        <v>17137.88</v>
      </c>
      <c r="G63" s="19">
        <f t="shared" si="2"/>
        <v>8.882458359103339</v>
      </c>
      <c r="H63" s="19">
        <f t="shared" si="1"/>
        <v>95.61931796022671</v>
      </c>
    </row>
    <row r="64" spans="1:8" s="3" customFormat="1" ht="15">
      <c r="A64" s="30" t="s">
        <v>13</v>
      </c>
      <c r="B64" s="25">
        <v>82070.117</v>
      </c>
      <c r="C64" s="25"/>
      <c r="D64" s="25"/>
      <c r="E64" s="25">
        <v>17923.031</v>
      </c>
      <c r="F64" s="25">
        <v>17137.88</v>
      </c>
      <c r="G64" s="20">
        <f t="shared" si="2"/>
        <v>20.88199776783552</v>
      </c>
      <c r="H64" s="20">
        <f t="shared" si="1"/>
        <v>95.61931796022671</v>
      </c>
    </row>
    <row r="65" spans="1:8" s="3" customFormat="1" ht="15">
      <c r="A65" s="30" t="s">
        <v>14</v>
      </c>
      <c r="B65" s="25">
        <v>110870.613</v>
      </c>
      <c r="C65" s="25"/>
      <c r="D65" s="25"/>
      <c r="E65" s="25"/>
      <c r="F65" s="25"/>
      <c r="G65" s="20">
        <f t="shared" si="2"/>
        <v>0</v>
      </c>
      <c r="H65" s="20" t="e">
        <f t="shared" si="1"/>
        <v>#DIV/0!</v>
      </c>
    </row>
    <row r="66" spans="1:8" s="3" customFormat="1" ht="60.75" customHeight="1">
      <c r="A66" s="24" t="s">
        <v>20</v>
      </c>
      <c r="B66" s="22">
        <f>SUM(B67:B67)</f>
        <v>6900</v>
      </c>
      <c r="C66" s="22"/>
      <c r="D66" s="22"/>
      <c r="E66" s="22">
        <f>SUM(E67:E67)</f>
        <v>0</v>
      </c>
      <c r="F66" s="22">
        <f>SUM(F67:F67)</f>
        <v>0</v>
      </c>
      <c r="G66" s="19">
        <f t="shared" si="2"/>
        <v>0</v>
      </c>
      <c r="H66" s="19" t="e">
        <f t="shared" si="1"/>
        <v>#DIV/0!</v>
      </c>
    </row>
    <row r="67" spans="1:8" s="3" customFormat="1" ht="15">
      <c r="A67" s="30" t="s">
        <v>14</v>
      </c>
      <c r="B67" s="25">
        <v>6900</v>
      </c>
      <c r="C67" s="25"/>
      <c r="D67" s="25"/>
      <c r="E67" s="25"/>
      <c r="F67" s="25"/>
      <c r="G67" s="20">
        <f t="shared" si="2"/>
        <v>0</v>
      </c>
      <c r="H67" s="20" t="e">
        <f t="shared" si="1"/>
        <v>#DIV/0!</v>
      </c>
    </row>
    <row r="68" spans="1:8" s="3" customFormat="1" ht="42.75">
      <c r="A68" s="23" t="s">
        <v>10</v>
      </c>
      <c r="B68" s="18">
        <f>SUM(B69)+B72</f>
        <v>9496</v>
      </c>
      <c r="C68" s="18"/>
      <c r="D68" s="18"/>
      <c r="E68" s="18">
        <f>SUM(E69)+E72</f>
        <v>2760.817</v>
      </c>
      <c r="F68" s="18">
        <f>SUM(F69)+F72</f>
        <v>1759.573</v>
      </c>
      <c r="G68" s="19">
        <f t="shared" si="2"/>
        <v>18.529622999157542</v>
      </c>
      <c r="H68" s="19">
        <f t="shared" si="1"/>
        <v>63.733778805331895</v>
      </c>
    </row>
    <row r="69" spans="1:8" s="3" customFormat="1" ht="15">
      <c r="A69" s="30" t="s">
        <v>31</v>
      </c>
      <c r="B69" s="25">
        <v>8770.034</v>
      </c>
      <c r="C69" s="25"/>
      <c r="D69" s="25"/>
      <c r="E69" s="25">
        <v>2760.817</v>
      </c>
      <c r="F69" s="25">
        <v>1759.573</v>
      </c>
      <c r="G69" s="20">
        <f aca="true" t="shared" si="3" ref="G69:G90">SUM(F69)/B69*100</f>
        <v>20.06346839704384</v>
      </c>
      <c r="H69" s="20">
        <f t="shared" si="1"/>
        <v>63.733778805331895</v>
      </c>
    </row>
    <row r="70" spans="1:8" s="3" customFormat="1" ht="15">
      <c r="A70" s="12" t="s">
        <v>29</v>
      </c>
      <c r="B70" s="11">
        <v>14.956</v>
      </c>
      <c r="C70" s="11"/>
      <c r="D70" s="11"/>
      <c r="E70" s="11">
        <v>11.14</v>
      </c>
      <c r="F70" s="11">
        <v>1.397</v>
      </c>
      <c r="G70" s="20">
        <f t="shared" si="3"/>
        <v>9.340732816261033</v>
      </c>
      <c r="H70" s="20">
        <f t="shared" si="1"/>
        <v>12.540394973070018</v>
      </c>
    </row>
    <row r="71" spans="1:8" s="3" customFormat="1" ht="15">
      <c r="A71" s="12" t="s">
        <v>13</v>
      </c>
      <c r="B71" s="11">
        <f>SUM(B69)-B70</f>
        <v>8755.078</v>
      </c>
      <c r="C71" s="11"/>
      <c r="D71" s="11"/>
      <c r="E71" s="11">
        <f>SUM(E69)-E70</f>
        <v>2749.677</v>
      </c>
      <c r="F71" s="11">
        <f>SUM(F69)-F70</f>
        <v>1758.1760000000002</v>
      </c>
      <c r="G71" s="19">
        <f t="shared" si="3"/>
        <v>20.08178567912245</v>
      </c>
      <c r="H71" s="19">
        <f t="shared" si="1"/>
        <v>63.94118290984723</v>
      </c>
    </row>
    <row r="72" spans="1:8" s="3" customFormat="1" ht="15">
      <c r="A72" s="30" t="s">
        <v>14</v>
      </c>
      <c r="B72" s="25">
        <v>725.966</v>
      </c>
      <c r="C72" s="25"/>
      <c r="D72" s="25"/>
      <c r="E72" s="25"/>
      <c r="F72" s="25"/>
      <c r="G72" s="20">
        <f t="shared" si="3"/>
        <v>0</v>
      </c>
      <c r="H72" s="20" t="e">
        <f>SUM(F72)/E72*100</f>
        <v>#DIV/0!</v>
      </c>
    </row>
    <row r="73" spans="1:8" s="2" customFormat="1" ht="15">
      <c r="A73" s="23" t="s">
        <v>11</v>
      </c>
      <c r="B73" s="18">
        <v>2500</v>
      </c>
      <c r="C73" s="18"/>
      <c r="D73" s="18"/>
      <c r="E73" s="18">
        <v>300</v>
      </c>
      <c r="F73" s="18"/>
      <c r="G73" s="20">
        <f t="shared" si="3"/>
        <v>0</v>
      </c>
      <c r="H73" s="20">
        <f t="shared" si="1"/>
        <v>0</v>
      </c>
    </row>
    <row r="74" spans="1:8" s="2" customFormat="1" ht="15">
      <c r="A74" s="23" t="s">
        <v>12</v>
      </c>
      <c r="B74" s="18">
        <v>37806.6</v>
      </c>
      <c r="C74" s="18"/>
      <c r="D74" s="18"/>
      <c r="E74" s="18">
        <v>12602.4</v>
      </c>
      <c r="F74" s="18">
        <v>12602.4</v>
      </c>
      <c r="G74" s="20">
        <f t="shared" si="3"/>
        <v>33.33386234149593</v>
      </c>
      <c r="H74" s="20">
        <f aca="true" t="shared" si="4" ref="H74:H90">SUM(F74)/E74*100</f>
        <v>100</v>
      </c>
    </row>
    <row r="75" spans="1:8" s="2" customFormat="1" ht="15">
      <c r="A75" s="17" t="s">
        <v>17</v>
      </c>
      <c r="B75" s="18">
        <f>SUM(B76)+B80</f>
        <v>16719.489999999998</v>
      </c>
      <c r="C75" s="18"/>
      <c r="D75" s="18"/>
      <c r="E75" s="18">
        <f>SUM(E76)+E80</f>
        <v>7052.902</v>
      </c>
      <c r="F75" s="18">
        <f>SUM(F76)+F80</f>
        <v>450.52200000000005</v>
      </c>
      <c r="G75" s="20">
        <f t="shared" si="3"/>
        <v>2.6945917608730894</v>
      </c>
      <c r="H75" s="20">
        <f t="shared" si="4"/>
        <v>6.387753580015716</v>
      </c>
    </row>
    <row r="76" spans="1:8" s="2" customFormat="1" ht="15">
      <c r="A76" s="30" t="s">
        <v>31</v>
      </c>
      <c r="B76" s="25">
        <f>816.856+160.8+919+8285.8+10+890+1000+21+196.034</f>
        <v>12299.489999999998</v>
      </c>
      <c r="C76" s="25"/>
      <c r="D76" s="25"/>
      <c r="E76" s="25">
        <f>5352.902</f>
        <v>5352.902</v>
      </c>
      <c r="F76" s="25">
        <f>218.769+36+53.875+653.87-572.473+15.001+15.946+29.534</f>
        <v>450.52200000000005</v>
      </c>
      <c r="G76" s="19">
        <f t="shared" si="3"/>
        <v>3.6629323654883263</v>
      </c>
      <c r="H76" s="20">
        <f t="shared" si="4"/>
        <v>8.41640665194319</v>
      </c>
    </row>
    <row r="77" spans="1:8" s="3" customFormat="1" ht="15">
      <c r="A77" s="12" t="s">
        <v>1</v>
      </c>
      <c r="B77" s="11"/>
      <c r="C77" s="11"/>
      <c r="D77" s="11"/>
      <c r="E77" s="11"/>
      <c r="F77" s="11"/>
      <c r="G77" s="19" t="e">
        <f t="shared" si="3"/>
        <v>#DIV/0!</v>
      </c>
      <c r="H77" s="19" t="e">
        <f t="shared" si="4"/>
        <v>#DIV/0!</v>
      </c>
    </row>
    <row r="78" spans="1:8" s="3" customFormat="1" ht="15">
      <c r="A78" s="12" t="s">
        <v>27</v>
      </c>
      <c r="B78" s="11"/>
      <c r="C78" s="11"/>
      <c r="D78" s="11"/>
      <c r="E78" s="11"/>
      <c r="F78" s="11"/>
      <c r="G78" s="19" t="e">
        <f t="shared" si="3"/>
        <v>#DIV/0!</v>
      </c>
      <c r="H78" s="19" t="e">
        <f t="shared" si="4"/>
        <v>#DIV/0!</v>
      </c>
    </row>
    <row r="79" spans="1:8" s="3" customFormat="1" ht="15">
      <c r="A79" s="12" t="s">
        <v>13</v>
      </c>
      <c r="B79" s="11">
        <f>SUM(B76)-B77-B78</f>
        <v>12299.489999999998</v>
      </c>
      <c r="C79" s="11"/>
      <c r="D79" s="11"/>
      <c r="E79" s="11">
        <f>SUM(E76)-E77-E78</f>
        <v>5352.902</v>
      </c>
      <c r="F79" s="11">
        <f>SUM(F76)-F77-F78</f>
        <v>450.52200000000005</v>
      </c>
      <c r="G79" s="20">
        <f t="shared" si="3"/>
        <v>3.6629323654883263</v>
      </c>
      <c r="H79" s="20">
        <f>SUM(F79)/E79*100</f>
        <v>8.41640665194319</v>
      </c>
    </row>
    <row r="80" spans="1:8" s="3" customFormat="1" ht="15">
      <c r="A80" s="30" t="s">
        <v>14</v>
      </c>
      <c r="B80" s="25">
        <f>1120+3300</f>
        <v>4420</v>
      </c>
      <c r="C80" s="25"/>
      <c r="D80" s="25"/>
      <c r="E80" s="25">
        <f>150+500+1050</f>
        <v>1700</v>
      </c>
      <c r="F80" s="25"/>
      <c r="G80" s="20">
        <f t="shared" si="3"/>
        <v>0</v>
      </c>
      <c r="H80" s="20">
        <f t="shared" si="4"/>
        <v>0</v>
      </c>
    </row>
    <row r="81" spans="1:8" s="3" customFormat="1" ht="40.5">
      <c r="A81" s="26" t="s">
        <v>23</v>
      </c>
      <c r="B81" s="18">
        <f>15000+775.5</f>
        <v>15775.5</v>
      </c>
      <c r="C81" s="18"/>
      <c r="D81" s="18"/>
      <c r="E81" s="18">
        <f>9000+21</f>
        <v>9021</v>
      </c>
      <c r="F81" s="18">
        <v>8000</v>
      </c>
      <c r="G81" s="20">
        <f t="shared" si="3"/>
        <v>50.71154638521759</v>
      </c>
      <c r="H81" s="20">
        <f t="shared" si="4"/>
        <v>88.68196430550937</v>
      </c>
    </row>
    <row r="82" spans="1:14" s="9" customFormat="1" ht="15.75">
      <c r="A82" s="27" t="s">
        <v>25</v>
      </c>
      <c r="B82" s="28">
        <f>B5+B14+B23+B35+B42+B49+B56+B61+B63+B66+B68+B73+B74+B75+B81</f>
        <v>2728628.6630000006</v>
      </c>
      <c r="C82" s="28"/>
      <c r="D82" s="28">
        <f>D5+D14+D23+D35+D42+D49+D56+D61+D63+D66+D68+D73+D74+D75+D81</f>
        <v>15976.729</v>
      </c>
      <c r="E82" s="28">
        <f>E5+E14+E23+E35+E42+E49+E56+E61+E63+E66+E68+E73+E74+E75+E81</f>
        <v>799267.979</v>
      </c>
      <c r="F82" s="28">
        <f>F5+F14+F23+F35+F42+F49+F56+F61+F63+F66+F68+F73+F74+F75+F81</f>
        <v>721834.675</v>
      </c>
      <c r="G82" s="20">
        <f t="shared" si="3"/>
        <v>26.45411905210936</v>
      </c>
      <c r="H82" s="20">
        <f t="shared" si="4"/>
        <v>90.3119722002525</v>
      </c>
      <c r="I82" s="5"/>
      <c r="J82" s="6"/>
      <c r="K82" s="5"/>
      <c r="L82" s="7"/>
      <c r="M82" s="8"/>
      <c r="N82" s="8"/>
    </row>
    <row r="83" spans="1:14" s="9" customFormat="1" ht="15.75">
      <c r="A83" s="17" t="s">
        <v>31</v>
      </c>
      <c r="B83" s="28">
        <f>B6+B15+B24+B36+B43+B50+B57+B64+B69+B76+B74</f>
        <v>2286204.5110000004</v>
      </c>
      <c r="C83" s="28"/>
      <c r="D83" s="28">
        <f>D6+D15+D24+D36+D43+D50+D57+D64+D69+D76+D74</f>
        <v>10481.672999999999</v>
      </c>
      <c r="E83" s="28">
        <f>E6+E15+E24+E36+E43+E50+E57+E64+E69+E76+E74</f>
        <v>783239.479</v>
      </c>
      <c r="F83" s="28">
        <f>F6+F15+F24+F36+F43+F50+F57+F64+F69+F76+F74</f>
        <v>713621.2930000001</v>
      </c>
      <c r="G83" s="20">
        <f t="shared" si="3"/>
        <v>31.214236940152723</v>
      </c>
      <c r="H83" s="20">
        <f t="shared" si="4"/>
        <v>91.1115070337255</v>
      </c>
      <c r="I83" s="5"/>
      <c r="J83" s="6"/>
      <c r="K83" s="5"/>
      <c r="L83" s="7"/>
      <c r="M83" s="8"/>
      <c r="N83" s="8"/>
    </row>
    <row r="84" spans="1:8" s="4" customFormat="1" ht="15">
      <c r="A84" s="29" t="s">
        <v>1</v>
      </c>
      <c r="B84" s="22">
        <f aca="true" t="shared" si="5" ref="B84:F85">B7+B16+B25+B37+B44+B51+B77</f>
        <v>754676.7779999999</v>
      </c>
      <c r="C84" s="22"/>
      <c r="D84" s="22"/>
      <c r="E84" s="22">
        <f t="shared" si="5"/>
        <v>226854.06500000003</v>
      </c>
      <c r="F84" s="22">
        <f t="shared" si="5"/>
        <v>222328.227</v>
      </c>
      <c r="G84" s="19">
        <f t="shared" si="3"/>
        <v>29.46005938982265</v>
      </c>
      <c r="H84" s="19">
        <f t="shared" si="4"/>
        <v>98.00495618185197</v>
      </c>
    </row>
    <row r="85" spans="1:8" ht="15">
      <c r="A85" s="29" t="s">
        <v>28</v>
      </c>
      <c r="B85" s="22">
        <f t="shared" si="5"/>
        <v>166121.425</v>
      </c>
      <c r="C85" s="22"/>
      <c r="D85" s="22"/>
      <c r="E85" s="22">
        <f t="shared" si="5"/>
        <v>50234.15299999999</v>
      </c>
      <c r="F85" s="22">
        <f t="shared" si="5"/>
        <v>49130.236999999994</v>
      </c>
      <c r="G85" s="19">
        <f t="shared" si="3"/>
        <v>29.57489499021574</v>
      </c>
      <c r="H85" s="19">
        <f t="shared" si="4"/>
        <v>97.80245921534699</v>
      </c>
    </row>
    <row r="86" spans="1:8" ht="15">
      <c r="A86" s="29" t="s">
        <v>2</v>
      </c>
      <c r="B86" s="22">
        <f>B70+B11+B20+B29+B39+B46+B53+B58</f>
        <v>165680.90200000006</v>
      </c>
      <c r="C86" s="22"/>
      <c r="D86" s="22"/>
      <c r="E86" s="22">
        <f>E70+E11+E20+E29+E39+E46+E53+E58</f>
        <v>76333.725</v>
      </c>
      <c r="F86" s="22">
        <f>F70+F11+F20+F29+F39+F46+F53+F58</f>
        <v>67975.551</v>
      </c>
      <c r="G86" s="19">
        <f t="shared" si="3"/>
        <v>41.02799428264821</v>
      </c>
      <c r="H86" s="19">
        <f>SUM(F86)/E86*100</f>
        <v>89.05048325625403</v>
      </c>
    </row>
    <row r="87" spans="1:8" ht="15">
      <c r="A87" s="29" t="s">
        <v>13</v>
      </c>
      <c r="B87" s="22">
        <f>B83-B84-B85-B86</f>
        <v>1199725.4060000004</v>
      </c>
      <c r="C87" s="22"/>
      <c r="D87" s="22">
        <f>D83-D84-D85-D86</f>
        <v>10481.672999999999</v>
      </c>
      <c r="E87" s="22">
        <f>E83-E84-E85-E86</f>
        <v>429817.53599999996</v>
      </c>
      <c r="F87" s="22">
        <f>F83-F84-F85-F86</f>
        <v>374187.27800000005</v>
      </c>
      <c r="G87" s="19">
        <f t="shared" si="3"/>
        <v>31.1894101874175</v>
      </c>
      <c r="H87" s="19">
        <f t="shared" si="4"/>
        <v>87.05723863253455</v>
      </c>
    </row>
    <row r="88" spans="1:8" ht="20.25" customHeight="1">
      <c r="A88" s="17" t="s">
        <v>14</v>
      </c>
      <c r="B88" s="18">
        <f>B13+B22+B41+B34+B55+B60+B62+B65+B67+B72+B80+B48</f>
        <v>424148.652</v>
      </c>
      <c r="C88" s="18"/>
      <c r="D88" s="18">
        <f>D13+D22+D41+D34+D55+D60+D62+D65+D67+D72+D80+D48</f>
        <v>5495.056</v>
      </c>
      <c r="E88" s="18">
        <f>E13+E22+E41+E34+E55+E60+E62+E65+E67+E72+E80+E48</f>
        <v>6707.5</v>
      </c>
      <c r="F88" s="18">
        <f>F13+F22+F41+F34+F55+F60+F62+F65+F67+F72+F80+F48</f>
        <v>213.382</v>
      </c>
      <c r="G88" s="19">
        <f t="shared" si="3"/>
        <v>0.05030830558905089</v>
      </c>
      <c r="H88" s="19">
        <f t="shared" si="4"/>
        <v>3.1812448751397686</v>
      </c>
    </row>
    <row r="89" spans="1:8" ht="15">
      <c r="A89" s="17" t="s">
        <v>24</v>
      </c>
      <c r="B89" s="18">
        <f>SUM(B81)</f>
        <v>15775.5</v>
      </c>
      <c r="C89" s="18"/>
      <c r="D89" s="18"/>
      <c r="E89" s="18">
        <f>SUM(E81)</f>
        <v>9021</v>
      </c>
      <c r="F89" s="18">
        <f>SUM(F81)</f>
        <v>8000</v>
      </c>
      <c r="G89" s="19">
        <f t="shared" si="3"/>
        <v>50.71154638521759</v>
      </c>
      <c r="H89" s="19">
        <f t="shared" si="4"/>
        <v>88.68196430550937</v>
      </c>
    </row>
    <row r="90" spans="1:8" ht="15">
      <c r="A90" s="17" t="s">
        <v>30</v>
      </c>
      <c r="B90" s="18">
        <f>SUM(B73)</f>
        <v>2500</v>
      </c>
      <c r="C90" s="18"/>
      <c r="D90" s="18"/>
      <c r="E90" s="18">
        <f>SUM(E73)</f>
        <v>300</v>
      </c>
      <c r="F90" s="18"/>
      <c r="G90" s="19">
        <f t="shared" si="3"/>
        <v>0</v>
      </c>
      <c r="H90" s="19">
        <f t="shared" si="4"/>
        <v>0</v>
      </c>
    </row>
    <row r="91" spans="7:9" ht="15">
      <c r="G91" s="63"/>
      <c r="H91" s="63"/>
      <c r="I91" s="64"/>
    </row>
    <row r="92" spans="5:9" ht="15">
      <c r="E92" s="54"/>
      <c r="F92" s="59"/>
      <c r="G92" s="63"/>
      <c r="H92" s="63"/>
      <c r="I92" s="64"/>
    </row>
    <row r="93" spans="5:9" ht="15">
      <c r="E93" s="55"/>
      <c r="F93" s="57"/>
      <c r="G93" s="63"/>
      <c r="H93" s="63"/>
      <c r="I93" s="64"/>
    </row>
    <row r="94" spans="5:9" ht="15">
      <c r="E94" s="60"/>
      <c r="F94" s="61"/>
      <c r="G94" s="65"/>
      <c r="H94" s="66"/>
      <c r="I94" s="64"/>
    </row>
    <row r="95" spans="5:7" ht="15">
      <c r="E95" s="62"/>
      <c r="F95" s="62"/>
      <c r="G95" s="55"/>
    </row>
    <row r="96" spans="5:6" ht="15">
      <c r="E96" s="54"/>
      <c r="F96" s="57"/>
    </row>
    <row r="97" spans="5:6" ht="15">
      <c r="E97" s="55"/>
      <c r="F97" s="56"/>
    </row>
    <row r="98" ht="15">
      <c r="F98" s="54"/>
    </row>
    <row r="100" ht="15">
      <c r="F100" s="55"/>
    </row>
  </sheetData>
  <sheetProtection/>
  <mergeCells count="8">
    <mergeCell ref="A1:H1"/>
    <mergeCell ref="H3:H4"/>
    <mergeCell ref="A3:A4"/>
    <mergeCell ref="E3:E4"/>
    <mergeCell ref="G3:G4"/>
    <mergeCell ref="F3:F4"/>
    <mergeCell ref="B3:B4"/>
    <mergeCell ref="C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6.140625" style="49" customWidth="1"/>
    <col min="2" max="3" width="17.28125" style="49" customWidth="1"/>
    <col min="4" max="4" width="19.140625" style="49" customWidth="1"/>
    <col min="5" max="5" width="15.8515625" style="49" customWidth="1"/>
    <col min="6" max="6" width="19.140625" style="49" customWidth="1"/>
    <col min="7" max="7" width="13.7109375" style="49" customWidth="1"/>
    <col min="8" max="8" width="15.140625" style="49" customWidth="1"/>
    <col min="9" max="16384" width="9.140625" style="49" customWidth="1"/>
  </cols>
  <sheetData>
    <row r="1" spans="1:8" s="31" customFormat="1" ht="40.5" customHeight="1">
      <c r="A1" s="77" t="s">
        <v>80</v>
      </c>
      <c r="B1" s="77"/>
      <c r="C1" s="77"/>
      <c r="D1" s="77"/>
      <c r="E1" s="77"/>
      <c r="F1" s="77"/>
      <c r="G1" s="77"/>
      <c r="H1" s="77"/>
    </row>
    <row r="2" spans="1:6" s="31" customFormat="1" ht="12.75" customHeight="1">
      <c r="A2" s="32"/>
      <c r="B2" s="32"/>
      <c r="C2" s="32"/>
      <c r="D2" s="32"/>
      <c r="E2" s="32"/>
      <c r="F2" s="33"/>
    </row>
    <row r="3" spans="1:8" s="31" customFormat="1" ht="44.25" customHeight="1">
      <c r="A3" s="78"/>
      <c r="B3" s="75" t="s">
        <v>66</v>
      </c>
      <c r="C3" s="71" t="s">
        <v>76</v>
      </c>
      <c r="D3" s="71"/>
      <c r="E3" s="75" t="s">
        <v>70</v>
      </c>
      <c r="F3" s="75" t="s">
        <v>72</v>
      </c>
      <c r="G3" s="75" t="s">
        <v>67</v>
      </c>
      <c r="H3" s="75" t="s">
        <v>68</v>
      </c>
    </row>
    <row r="4" spans="1:8" s="31" customFormat="1" ht="114" customHeight="1">
      <c r="A4" s="79"/>
      <c r="B4" s="76"/>
      <c r="C4" s="68" t="s">
        <v>77</v>
      </c>
      <c r="D4" s="69" t="s">
        <v>78</v>
      </c>
      <c r="E4" s="76"/>
      <c r="F4" s="76"/>
      <c r="G4" s="76"/>
      <c r="H4" s="76"/>
    </row>
    <row r="5" spans="1:8" s="35" customFormat="1" ht="14.25">
      <c r="A5" s="34" t="s">
        <v>33</v>
      </c>
      <c r="B5" s="18">
        <f>B6+B13</f>
        <v>723104.333</v>
      </c>
      <c r="C5" s="18"/>
      <c r="D5" s="18">
        <f>D6+D13</f>
        <v>10508.649</v>
      </c>
      <c r="E5" s="18">
        <f>E6+E13</f>
        <v>220351.598</v>
      </c>
      <c r="F5" s="18">
        <f>F6+F13</f>
        <v>209114.833</v>
      </c>
      <c r="G5" s="19">
        <f aca="true" t="shared" si="0" ref="G5:G68">SUM(F5)/B5*100</f>
        <v>28.919040234820446</v>
      </c>
      <c r="H5" s="19">
        <f>SUM(F5)/E5*100</f>
        <v>94.90052938032245</v>
      </c>
    </row>
    <row r="6" spans="1:8" s="37" customFormat="1" ht="15">
      <c r="A6" s="36" t="s">
        <v>34</v>
      </c>
      <c r="B6" s="25">
        <v>686763.894</v>
      </c>
      <c r="C6" s="25"/>
      <c r="D6" s="25">
        <v>5013.593</v>
      </c>
      <c r="E6" s="25">
        <v>220344.098</v>
      </c>
      <c r="F6" s="25">
        <v>209114.833</v>
      </c>
      <c r="G6" s="20">
        <f t="shared" si="0"/>
        <v>30.44930504165381</v>
      </c>
      <c r="H6" s="20">
        <f>SUM(F6)/E6*100</f>
        <v>94.90375957335604</v>
      </c>
    </row>
    <row r="7" spans="1:8" s="37" customFormat="1" ht="15">
      <c r="A7" s="38" t="s">
        <v>35</v>
      </c>
      <c r="B7" s="11">
        <v>401715.273</v>
      </c>
      <c r="C7" s="11"/>
      <c r="D7" s="11"/>
      <c r="E7" s="11">
        <v>120186.961</v>
      </c>
      <c r="F7" s="11">
        <v>119445.879</v>
      </c>
      <c r="G7" s="20">
        <f t="shared" si="0"/>
        <v>29.733965081282832</v>
      </c>
      <c r="H7" s="20">
        <f aca="true" t="shared" si="1" ref="H7:H73">SUM(F7)/E7*100</f>
        <v>99.38339234652918</v>
      </c>
    </row>
    <row r="8" spans="1:8" s="37" customFormat="1" ht="15">
      <c r="A8" s="38" t="s">
        <v>36</v>
      </c>
      <c r="B8" s="11">
        <v>88410.024</v>
      </c>
      <c r="C8" s="11"/>
      <c r="D8" s="11"/>
      <c r="E8" s="11">
        <v>26773.191</v>
      </c>
      <c r="F8" s="11">
        <v>26642.094</v>
      </c>
      <c r="G8" s="20">
        <f t="shared" si="0"/>
        <v>30.134698300726626</v>
      </c>
      <c r="H8" s="20">
        <f t="shared" si="1"/>
        <v>99.51034226738233</v>
      </c>
    </row>
    <row r="9" spans="1:8" s="37" customFormat="1" ht="15">
      <c r="A9" s="38" t="s">
        <v>37</v>
      </c>
      <c r="B9" s="11">
        <v>153.271</v>
      </c>
      <c r="C9" s="11"/>
      <c r="D9" s="11"/>
      <c r="E9" s="11">
        <v>9.979</v>
      </c>
      <c r="F9" s="11">
        <v>6.933</v>
      </c>
      <c r="G9" s="20">
        <f t="shared" si="0"/>
        <v>4.523360583541571</v>
      </c>
      <c r="H9" s="20"/>
    </row>
    <row r="10" spans="1:8" s="37" customFormat="1" ht="15">
      <c r="A10" s="38" t="s">
        <v>38</v>
      </c>
      <c r="B10" s="11">
        <v>47933.507</v>
      </c>
      <c r="C10" s="11"/>
      <c r="D10" s="11"/>
      <c r="E10" s="11">
        <v>12763.281</v>
      </c>
      <c r="F10" s="11">
        <v>12085.143</v>
      </c>
      <c r="G10" s="20">
        <f t="shared" si="0"/>
        <v>25.212307123699507</v>
      </c>
      <c r="H10" s="20">
        <f t="shared" si="1"/>
        <v>94.68680506211528</v>
      </c>
    </row>
    <row r="11" spans="1:8" s="37" customFormat="1" ht="30">
      <c r="A11" s="38" t="s">
        <v>39</v>
      </c>
      <c r="B11" s="11">
        <v>92734.871</v>
      </c>
      <c r="C11" s="11"/>
      <c r="D11" s="11"/>
      <c r="E11" s="11">
        <v>44735.603</v>
      </c>
      <c r="F11" s="11">
        <v>40273.074</v>
      </c>
      <c r="G11" s="20">
        <f t="shared" si="0"/>
        <v>43.42818787120543</v>
      </c>
      <c r="H11" s="20">
        <f t="shared" si="1"/>
        <v>90.02465888299304</v>
      </c>
    </row>
    <row r="12" spans="1:8" s="37" customFormat="1" ht="15">
      <c r="A12" s="38" t="s">
        <v>40</v>
      </c>
      <c r="B12" s="11">
        <f>SUM(B6)-B7-B8-B9-B10-B11</f>
        <v>55816.94799999996</v>
      </c>
      <c r="C12" s="11"/>
      <c r="D12" s="11">
        <v>5013.593</v>
      </c>
      <c r="E12" s="11">
        <f>SUM(E6)-E7-E8-E9-E10-E11</f>
        <v>15875.082999999984</v>
      </c>
      <c r="F12" s="11">
        <f>SUM(F6)-F7-F8-F9-F10-F11</f>
        <v>10661.710000000014</v>
      </c>
      <c r="G12" s="20">
        <f t="shared" si="0"/>
        <v>19.101205605150646</v>
      </c>
      <c r="H12" s="20">
        <f t="shared" si="1"/>
        <v>67.16002681686783</v>
      </c>
    </row>
    <row r="13" spans="1:8" s="37" customFormat="1" ht="15">
      <c r="A13" s="36" t="s">
        <v>41</v>
      </c>
      <c r="B13" s="25">
        <f>36340.439</f>
        <v>36340.439</v>
      </c>
      <c r="C13" s="25"/>
      <c r="D13" s="25">
        <v>5495.056</v>
      </c>
      <c r="E13" s="25">
        <v>7.5</v>
      </c>
      <c r="F13" s="25"/>
      <c r="G13" s="20">
        <f t="shared" si="0"/>
        <v>0</v>
      </c>
      <c r="H13" s="20">
        <f t="shared" si="1"/>
        <v>0</v>
      </c>
    </row>
    <row r="14" spans="1:8" s="35" customFormat="1" ht="14.25">
      <c r="A14" s="34" t="s">
        <v>42</v>
      </c>
      <c r="B14" s="18">
        <f>B15+B22</f>
        <v>390165.85000000003</v>
      </c>
      <c r="C14" s="18"/>
      <c r="D14" s="18">
        <f>D15+D22</f>
        <v>5468.08</v>
      </c>
      <c r="E14" s="18">
        <f>E15+E22</f>
        <v>121855.846</v>
      </c>
      <c r="F14" s="18">
        <f>F15+F22</f>
        <v>111792.67000000001</v>
      </c>
      <c r="G14" s="19">
        <f t="shared" si="0"/>
        <v>28.65260247661347</v>
      </c>
      <c r="H14" s="19">
        <f t="shared" si="1"/>
        <v>91.7417371998714</v>
      </c>
    </row>
    <row r="15" spans="1:8" s="37" customFormat="1" ht="15">
      <c r="A15" s="36" t="s">
        <v>43</v>
      </c>
      <c r="B15" s="25">
        <f>349358.412+25271+830.938</f>
        <v>375460.35000000003</v>
      </c>
      <c r="C15" s="25"/>
      <c r="D15" s="25">
        <f>SUM(D18:D21)</f>
        <v>5468.08</v>
      </c>
      <c r="E15" s="25">
        <f>113237.133+8396.6+222.113</f>
        <v>121855.846</v>
      </c>
      <c r="F15" s="25">
        <f>103396.07+8396.6</f>
        <v>111792.67000000001</v>
      </c>
      <c r="G15" s="20">
        <f t="shared" si="0"/>
        <v>29.774827088932295</v>
      </c>
      <c r="H15" s="20">
        <f>SUM(F15)/E15*100</f>
        <v>91.7417371998714</v>
      </c>
    </row>
    <row r="16" spans="1:8" s="37" customFormat="1" ht="15">
      <c r="A16" s="38" t="s">
        <v>35</v>
      </c>
      <c r="B16" s="11">
        <v>221602.052</v>
      </c>
      <c r="C16" s="11"/>
      <c r="D16" s="11"/>
      <c r="E16" s="11">
        <v>67662.832</v>
      </c>
      <c r="F16" s="11">
        <v>64755.366</v>
      </c>
      <c r="G16" s="20">
        <f t="shared" si="0"/>
        <v>29.22146497091101</v>
      </c>
      <c r="H16" s="20">
        <f t="shared" si="1"/>
        <v>95.70300870646385</v>
      </c>
    </row>
    <row r="17" spans="1:8" s="37" customFormat="1" ht="15">
      <c r="A17" s="38" t="s">
        <v>36</v>
      </c>
      <c r="B17" s="11">
        <v>48752.452</v>
      </c>
      <c r="C17" s="11"/>
      <c r="D17" s="11"/>
      <c r="E17" s="11">
        <v>14835.122</v>
      </c>
      <c r="F17" s="11">
        <v>14093.111</v>
      </c>
      <c r="G17" s="20">
        <f t="shared" si="0"/>
        <v>28.907491668316503</v>
      </c>
      <c r="H17" s="20">
        <f t="shared" si="1"/>
        <v>94.99828178022399</v>
      </c>
    </row>
    <row r="18" spans="1:8" s="37" customFormat="1" ht="15">
      <c r="A18" s="38" t="s">
        <v>37</v>
      </c>
      <c r="B18" s="11">
        <v>15177.439</v>
      </c>
      <c r="C18" s="11"/>
      <c r="D18" s="11">
        <v>1483.851</v>
      </c>
      <c r="E18" s="11">
        <v>4693.495</v>
      </c>
      <c r="F18" s="11">
        <f>3853.354+66.374</f>
        <v>3919.7279999999996</v>
      </c>
      <c r="G18" s="20">
        <f t="shared" si="0"/>
        <v>25.826017156122315</v>
      </c>
      <c r="H18" s="20">
        <f t="shared" si="1"/>
        <v>83.5140550911421</v>
      </c>
    </row>
    <row r="19" spans="1:8" s="37" customFormat="1" ht="15">
      <c r="A19" s="38" t="s">
        <v>38</v>
      </c>
      <c r="B19" s="11">
        <v>6270.712</v>
      </c>
      <c r="C19" s="11"/>
      <c r="D19" s="11">
        <v>475.032</v>
      </c>
      <c r="E19" s="11">
        <v>2319.402</v>
      </c>
      <c r="F19" s="11">
        <f>1556.058+129.311</f>
        <v>1685.369</v>
      </c>
      <c r="G19" s="20">
        <f t="shared" si="0"/>
        <v>26.876836314600318</v>
      </c>
      <c r="H19" s="20">
        <f t="shared" si="1"/>
        <v>72.66394527554947</v>
      </c>
    </row>
    <row r="20" spans="1:8" s="37" customFormat="1" ht="30">
      <c r="A20" s="38" t="s">
        <v>39</v>
      </c>
      <c r="B20" s="11">
        <v>36131.055</v>
      </c>
      <c r="C20" s="11"/>
      <c r="D20" s="11">
        <v>383.728</v>
      </c>
      <c r="E20" s="11">
        <v>16645.28</v>
      </c>
      <c r="F20" s="11">
        <v>14315.735</v>
      </c>
      <c r="G20" s="20">
        <f t="shared" si="0"/>
        <v>39.62169109094656</v>
      </c>
      <c r="H20" s="20">
        <f t="shared" si="1"/>
        <v>86.00477132256113</v>
      </c>
    </row>
    <row r="21" spans="1:8" s="37" customFormat="1" ht="15">
      <c r="A21" s="38" t="s">
        <v>40</v>
      </c>
      <c r="B21" s="11">
        <f>SUM(B15)-B16-B17-B18-B19-B20</f>
        <v>47526.64000000005</v>
      </c>
      <c r="C21" s="11"/>
      <c r="D21" s="11">
        <v>3125.469</v>
      </c>
      <c r="E21" s="11">
        <f>SUM(E15)-E16-E17-E18-E19-E20</f>
        <v>15699.715000000004</v>
      </c>
      <c r="F21" s="11">
        <f>SUM(F15)-F16-F17-F18-F19-F20</f>
        <v>13023.361000000015</v>
      </c>
      <c r="G21" s="20">
        <f t="shared" si="0"/>
        <v>27.402233778781753</v>
      </c>
      <c r="H21" s="20">
        <f t="shared" si="1"/>
        <v>82.95284978103113</v>
      </c>
    </row>
    <row r="22" spans="1:8" s="37" customFormat="1" ht="15">
      <c r="A22" s="36" t="s">
        <v>41</v>
      </c>
      <c r="B22" s="25">
        <v>14705.5</v>
      </c>
      <c r="C22" s="25"/>
      <c r="D22" s="25"/>
      <c r="E22" s="25"/>
      <c r="F22" s="25"/>
      <c r="G22" s="20">
        <f t="shared" si="0"/>
        <v>0</v>
      </c>
      <c r="H22" s="20" t="e">
        <f t="shared" si="1"/>
        <v>#DIV/0!</v>
      </c>
    </row>
    <row r="23" spans="1:8" s="35" customFormat="1" ht="28.5">
      <c r="A23" s="34" t="s">
        <v>59</v>
      </c>
      <c r="B23" s="18">
        <f>B24+B34</f>
        <v>686839.8130000001</v>
      </c>
      <c r="C23" s="18"/>
      <c r="D23" s="18"/>
      <c r="E23" s="18">
        <f>E24+E34</f>
        <v>296155.63</v>
      </c>
      <c r="F23" s="18">
        <f>F24+F34</f>
        <v>270578.674</v>
      </c>
      <c r="G23" s="19">
        <f t="shared" si="0"/>
        <v>39.394727690312266</v>
      </c>
      <c r="H23" s="19">
        <f t="shared" si="1"/>
        <v>91.36367726657771</v>
      </c>
    </row>
    <row r="24" spans="1:8" s="37" customFormat="1" ht="15">
      <c r="A24" s="36" t="s">
        <v>43</v>
      </c>
      <c r="B24" s="25">
        <v>682897.077</v>
      </c>
      <c r="C24" s="25"/>
      <c r="D24" s="25"/>
      <c r="E24" s="25">
        <v>296155.63</v>
      </c>
      <c r="F24" s="25">
        <v>270578.674</v>
      </c>
      <c r="G24" s="20">
        <f t="shared" si="0"/>
        <v>39.62217486545194</v>
      </c>
      <c r="H24" s="20">
        <f>SUM(F24)/E24*100</f>
        <v>91.36367726657771</v>
      </c>
    </row>
    <row r="25" spans="1:8" s="37" customFormat="1" ht="15">
      <c r="A25" s="38" t="s">
        <v>35</v>
      </c>
      <c r="B25" s="11">
        <f>14660.587+636.762</f>
        <v>15297.349</v>
      </c>
      <c r="C25" s="11"/>
      <c r="D25" s="11"/>
      <c r="E25" s="11">
        <v>4759.836</v>
      </c>
      <c r="F25" s="11">
        <v>4531.222</v>
      </c>
      <c r="G25" s="20">
        <f t="shared" si="0"/>
        <v>29.620962429503304</v>
      </c>
      <c r="H25" s="20">
        <f t="shared" si="1"/>
        <v>95.19701939310514</v>
      </c>
    </row>
    <row r="26" spans="1:8" s="37" customFormat="1" ht="15">
      <c r="A26" s="38" t="s">
        <v>36</v>
      </c>
      <c r="B26" s="11">
        <f>3215.852+140.256</f>
        <v>3356.1079999999997</v>
      </c>
      <c r="C26" s="11"/>
      <c r="D26" s="11"/>
      <c r="E26" s="11">
        <v>1039.276</v>
      </c>
      <c r="F26" s="11">
        <v>987.556</v>
      </c>
      <c r="G26" s="20">
        <f t="shared" si="0"/>
        <v>29.42563230980648</v>
      </c>
      <c r="H26" s="20">
        <f t="shared" si="1"/>
        <v>95.02345863851373</v>
      </c>
    </row>
    <row r="27" spans="1:8" s="37" customFormat="1" ht="15">
      <c r="A27" s="38" t="s">
        <v>37</v>
      </c>
      <c r="B27" s="11">
        <v>72.57</v>
      </c>
      <c r="C27" s="11"/>
      <c r="D27" s="11"/>
      <c r="E27" s="11">
        <v>17.2</v>
      </c>
      <c r="F27" s="11">
        <v>17.2</v>
      </c>
      <c r="G27" s="20">
        <f t="shared" si="0"/>
        <v>23.701253961692164</v>
      </c>
      <c r="H27" s="20">
        <f t="shared" si="1"/>
        <v>100</v>
      </c>
    </row>
    <row r="28" spans="1:8" s="37" customFormat="1" ht="15">
      <c r="A28" s="38" t="s">
        <v>38</v>
      </c>
      <c r="B28" s="11">
        <v>259.017</v>
      </c>
      <c r="C28" s="11"/>
      <c r="D28" s="11"/>
      <c r="E28" s="11">
        <v>77.238</v>
      </c>
      <c r="F28" s="11">
        <v>77.238</v>
      </c>
      <c r="G28" s="20">
        <f t="shared" si="0"/>
        <v>29.819664346355644</v>
      </c>
      <c r="H28" s="20">
        <f t="shared" si="1"/>
        <v>100</v>
      </c>
    </row>
    <row r="29" spans="1:8" s="37" customFormat="1" ht="30">
      <c r="A29" s="38" t="s">
        <v>39</v>
      </c>
      <c r="B29" s="11">
        <v>1309.543</v>
      </c>
      <c r="C29" s="11"/>
      <c r="D29" s="11"/>
      <c r="E29" s="11">
        <v>712.001</v>
      </c>
      <c r="F29" s="11">
        <v>531.264</v>
      </c>
      <c r="G29" s="20">
        <f t="shared" si="0"/>
        <v>40.56865639387176</v>
      </c>
      <c r="H29" s="20">
        <f t="shared" si="1"/>
        <v>74.61562553985178</v>
      </c>
    </row>
    <row r="30" spans="1:8" s="37" customFormat="1" ht="15">
      <c r="A30" s="38" t="s">
        <v>40</v>
      </c>
      <c r="B30" s="11">
        <f>SUM(B24)-B25-B26-B27-B28-B29</f>
        <v>662602.4900000001</v>
      </c>
      <c r="C30" s="11"/>
      <c r="D30" s="11"/>
      <c r="E30" s="11">
        <f>SUM(E24)-E25-E26-E27-E28-E29</f>
        <v>289550.07899999997</v>
      </c>
      <c r="F30" s="11">
        <f>SUM(F24)-F25-F26-F27-F28-F29</f>
        <v>264434.19399999996</v>
      </c>
      <c r="G30" s="20">
        <f t="shared" si="0"/>
        <v>39.90842141266326</v>
      </c>
      <c r="H30" s="20">
        <f t="shared" si="1"/>
        <v>91.32589254102741</v>
      </c>
    </row>
    <row r="31" spans="1:8" s="37" customFormat="1" ht="15">
      <c r="A31" s="38" t="s">
        <v>44</v>
      </c>
      <c r="B31" s="11">
        <f>SUM(B32:B33)</f>
        <v>639599.8</v>
      </c>
      <c r="C31" s="11"/>
      <c r="D31" s="11"/>
      <c r="E31" s="11">
        <f>SUM(E32:E33)</f>
        <v>282824.381</v>
      </c>
      <c r="F31" s="11">
        <f>SUM(F32:F33)</f>
        <v>258822.45500000002</v>
      </c>
      <c r="G31" s="20">
        <f t="shared" si="0"/>
        <v>40.46631268490078</v>
      </c>
      <c r="H31" s="20">
        <f>SUM(F31)/E31*100</f>
        <v>91.51348765791165</v>
      </c>
    </row>
    <row r="32" spans="1:8" s="37" customFormat="1" ht="30">
      <c r="A32" s="39" t="s">
        <v>63</v>
      </c>
      <c r="B32" s="11">
        <v>424514.7</v>
      </c>
      <c r="C32" s="11"/>
      <c r="D32" s="11"/>
      <c r="E32" s="11">
        <v>143157.422</v>
      </c>
      <c r="F32" s="67">
        <v>143157.35</v>
      </c>
      <c r="G32" s="20">
        <f t="shared" si="0"/>
        <v>33.72258958288135</v>
      </c>
      <c r="H32" s="20">
        <f>SUM(F32)/E32*100</f>
        <v>99.99994970571629</v>
      </c>
    </row>
    <row r="33" spans="1:8" s="37" customFormat="1" ht="15">
      <c r="A33" s="39" t="s">
        <v>60</v>
      </c>
      <c r="B33" s="11">
        <v>215085.1</v>
      </c>
      <c r="C33" s="11"/>
      <c r="D33" s="11"/>
      <c r="E33" s="11">
        <v>139666.959</v>
      </c>
      <c r="F33" s="11">
        <v>115665.105</v>
      </c>
      <c r="G33" s="20">
        <f t="shared" si="0"/>
        <v>53.77643779136723</v>
      </c>
      <c r="H33" s="20">
        <f>SUM(F33)/E33*100</f>
        <v>82.81493764033338</v>
      </c>
    </row>
    <row r="34" spans="1:8" s="37" customFormat="1" ht="15">
      <c r="A34" s="36" t="s">
        <v>41</v>
      </c>
      <c r="B34" s="25">
        <v>3942.736</v>
      </c>
      <c r="C34" s="25"/>
      <c r="D34" s="25"/>
      <c r="E34" s="25">
        <v>0</v>
      </c>
      <c r="F34" s="25">
        <v>0</v>
      </c>
      <c r="G34" s="20">
        <f t="shared" si="0"/>
        <v>0</v>
      </c>
      <c r="H34" s="20" t="e">
        <f>SUM(F34)/E34*100</f>
        <v>#DIV/0!</v>
      </c>
    </row>
    <row r="35" spans="1:8" s="35" customFormat="1" ht="14.25">
      <c r="A35" s="34" t="s">
        <v>61</v>
      </c>
      <c r="B35" s="18">
        <f>B36+B41</f>
        <v>96848.568</v>
      </c>
      <c r="C35" s="18"/>
      <c r="D35" s="18"/>
      <c r="E35" s="18">
        <f>E36+E41</f>
        <v>28353.664</v>
      </c>
      <c r="F35" s="18">
        <f>F36+F41</f>
        <v>25472.007</v>
      </c>
      <c r="G35" s="19">
        <f t="shared" si="0"/>
        <v>26.300860741689025</v>
      </c>
      <c r="H35" s="19">
        <f>SUM(F35)/E35*100</f>
        <v>89.83673856049082</v>
      </c>
    </row>
    <row r="36" spans="1:8" s="37" customFormat="1" ht="15">
      <c r="A36" s="36" t="s">
        <v>43</v>
      </c>
      <c r="B36" s="25">
        <v>87280</v>
      </c>
      <c r="C36" s="25"/>
      <c r="D36" s="25"/>
      <c r="E36" s="25">
        <v>28353.664</v>
      </c>
      <c r="F36" s="25">
        <v>25472.007</v>
      </c>
      <c r="G36" s="20">
        <f t="shared" si="0"/>
        <v>29.184242667277726</v>
      </c>
      <c r="H36" s="20">
        <f t="shared" si="1"/>
        <v>89.83673856049082</v>
      </c>
    </row>
    <row r="37" spans="1:8" s="37" customFormat="1" ht="15">
      <c r="A37" s="38" t="s">
        <v>35</v>
      </c>
      <c r="B37" s="11">
        <v>40460.715</v>
      </c>
      <c r="C37" s="11"/>
      <c r="D37" s="11"/>
      <c r="E37" s="11">
        <v>11838.132</v>
      </c>
      <c r="F37" s="11">
        <v>11704.53</v>
      </c>
      <c r="G37" s="20">
        <f t="shared" si="0"/>
        <v>28.928134364407555</v>
      </c>
      <c r="H37" s="20">
        <f>SUM(F37)/E37*100</f>
        <v>98.87142667441114</v>
      </c>
    </row>
    <row r="38" spans="1:8" s="37" customFormat="1" ht="15">
      <c r="A38" s="38" t="s">
        <v>36</v>
      </c>
      <c r="B38" s="11">
        <v>8901.357</v>
      </c>
      <c r="C38" s="11"/>
      <c r="D38" s="11"/>
      <c r="E38" s="11">
        <v>2630.284</v>
      </c>
      <c r="F38" s="11">
        <v>2599.975</v>
      </c>
      <c r="G38" s="20">
        <f t="shared" si="0"/>
        <v>29.208748733479624</v>
      </c>
      <c r="H38" s="20">
        <f t="shared" si="1"/>
        <v>98.84769097177339</v>
      </c>
    </row>
    <row r="39" spans="1:8" s="37" customFormat="1" ht="30">
      <c r="A39" s="38" t="s">
        <v>39</v>
      </c>
      <c r="B39" s="11">
        <v>6464.382</v>
      </c>
      <c r="C39" s="11"/>
      <c r="D39" s="11"/>
      <c r="E39" s="11">
        <v>3236.03</v>
      </c>
      <c r="F39" s="11">
        <v>2810.431</v>
      </c>
      <c r="G39" s="20">
        <f t="shared" si="0"/>
        <v>43.47563309222753</v>
      </c>
      <c r="H39" s="20">
        <f t="shared" si="1"/>
        <v>86.84811327459882</v>
      </c>
    </row>
    <row r="40" spans="1:8" s="37" customFormat="1" ht="15">
      <c r="A40" s="38" t="s">
        <v>40</v>
      </c>
      <c r="B40" s="11">
        <f>SUM(B36)-B37-B38-B39</f>
        <v>31453.546000000002</v>
      </c>
      <c r="C40" s="11"/>
      <c r="D40" s="11"/>
      <c r="E40" s="11">
        <f>SUM(E36)-E37-E38-E39</f>
        <v>10649.217999999999</v>
      </c>
      <c r="F40" s="11">
        <f>SUM(F36)-F37-F38-F39</f>
        <v>8357.071</v>
      </c>
      <c r="G40" s="20">
        <f t="shared" si="0"/>
        <v>26.569567068844957</v>
      </c>
      <c r="H40" s="20">
        <f t="shared" si="1"/>
        <v>78.47591250362234</v>
      </c>
    </row>
    <row r="41" spans="1:8" s="37" customFormat="1" ht="15">
      <c r="A41" s="36" t="s">
        <v>41</v>
      </c>
      <c r="B41" s="25">
        <v>9568.568</v>
      </c>
      <c r="C41" s="25"/>
      <c r="D41" s="25"/>
      <c r="E41" s="25"/>
      <c r="F41" s="25"/>
      <c r="G41" s="20">
        <f t="shared" si="0"/>
        <v>0</v>
      </c>
      <c r="H41" s="20" t="e">
        <f t="shared" si="1"/>
        <v>#DIV/0!</v>
      </c>
    </row>
    <row r="42" spans="1:8" s="35" customFormat="1" ht="14.25">
      <c r="A42" s="34" t="s">
        <v>62</v>
      </c>
      <c r="B42" s="18">
        <f>B43+B48</f>
        <v>54607.354999999996</v>
      </c>
      <c r="C42" s="18"/>
      <c r="D42" s="18"/>
      <c r="E42" s="18">
        <f>E43+E48</f>
        <v>17919.11</v>
      </c>
      <c r="F42" s="18">
        <f>F43+F48</f>
        <v>14207.133</v>
      </c>
      <c r="G42" s="19">
        <f t="shared" si="0"/>
        <v>26.016885454349513</v>
      </c>
      <c r="H42" s="19">
        <f t="shared" si="1"/>
        <v>79.28481381050733</v>
      </c>
    </row>
    <row r="43" spans="1:8" s="37" customFormat="1" ht="15">
      <c r="A43" s="36" t="s">
        <v>43</v>
      </c>
      <c r="B43" s="25">
        <v>51069.062</v>
      </c>
      <c r="C43" s="25"/>
      <c r="D43" s="25"/>
      <c r="E43" s="25">
        <v>17919.11</v>
      </c>
      <c r="F43" s="25">
        <v>14207.133</v>
      </c>
      <c r="G43" s="20">
        <f t="shared" si="0"/>
        <v>27.819451628071807</v>
      </c>
      <c r="H43" s="20">
        <f t="shared" si="1"/>
        <v>79.28481381050733</v>
      </c>
    </row>
    <row r="44" spans="1:8" s="37" customFormat="1" ht="15">
      <c r="A44" s="38" t="s">
        <v>35</v>
      </c>
      <c r="B44" s="11">
        <v>24685.189</v>
      </c>
      <c r="C44" s="11"/>
      <c r="D44" s="11"/>
      <c r="E44" s="11">
        <v>7489.884</v>
      </c>
      <c r="F44" s="11">
        <v>7202.997</v>
      </c>
      <c r="G44" s="20">
        <f t="shared" si="0"/>
        <v>29.179428198828056</v>
      </c>
      <c r="H44" s="20">
        <f>SUM(F44)/E44*100</f>
        <v>96.16967365582698</v>
      </c>
    </row>
    <row r="45" spans="1:8" s="37" customFormat="1" ht="15">
      <c r="A45" s="38" t="s">
        <v>36</v>
      </c>
      <c r="B45" s="11">
        <v>5430.741</v>
      </c>
      <c r="C45" s="11"/>
      <c r="D45" s="11"/>
      <c r="E45" s="11">
        <v>1648.118</v>
      </c>
      <c r="F45" s="11">
        <v>1585.727</v>
      </c>
      <c r="G45" s="20">
        <f t="shared" si="0"/>
        <v>29.19909087912681</v>
      </c>
      <c r="H45" s="20">
        <f t="shared" si="1"/>
        <v>96.21440940515183</v>
      </c>
    </row>
    <row r="46" spans="1:8" s="37" customFormat="1" ht="30">
      <c r="A46" s="38" t="s">
        <v>39</v>
      </c>
      <c r="B46" s="11">
        <v>4194.121</v>
      </c>
      <c r="C46" s="11"/>
      <c r="D46" s="11"/>
      <c r="E46" s="11">
        <v>2127.343</v>
      </c>
      <c r="F46" s="11">
        <v>1450.027</v>
      </c>
      <c r="G46" s="20">
        <f t="shared" si="0"/>
        <v>34.57284613390982</v>
      </c>
      <c r="H46" s="20">
        <f t="shared" si="1"/>
        <v>68.16141073630347</v>
      </c>
    </row>
    <row r="47" spans="1:8" s="37" customFormat="1" ht="15">
      <c r="A47" s="38" t="s">
        <v>40</v>
      </c>
      <c r="B47" s="11">
        <f>SUM(B43)-B44-B45-B46</f>
        <v>16759.011</v>
      </c>
      <c r="C47" s="11"/>
      <c r="D47" s="11"/>
      <c r="E47" s="11">
        <f>SUM(E43)-E44-E45-E46</f>
        <v>6653.765</v>
      </c>
      <c r="F47" s="11">
        <f>SUM(F43)-F44-F45-F46</f>
        <v>3968.3819999999996</v>
      </c>
      <c r="G47" s="20">
        <f t="shared" si="0"/>
        <v>23.679094189985317</v>
      </c>
      <c r="H47" s="20">
        <f t="shared" si="1"/>
        <v>59.64115053657591</v>
      </c>
    </row>
    <row r="48" spans="1:8" s="37" customFormat="1" ht="15">
      <c r="A48" s="36" t="s">
        <v>41</v>
      </c>
      <c r="B48" s="25">
        <v>3538.293</v>
      </c>
      <c r="C48" s="25"/>
      <c r="D48" s="25"/>
      <c r="E48" s="25"/>
      <c r="F48" s="25"/>
      <c r="G48" s="20">
        <f t="shared" si="0"/>
        <v>0</v>
      </c>
      <c r="H48" s="20" t="e">
        <f t="shared" si="1"/>
        <v>#DIV/0!</v>
      </c>
    </row>
    <row r="49" spans="1:8" s="37" customFormat="1" ht="14.25">
      <c r="A49" s="34" t="s">
        <v>45</v>
      </c>
      <c r="B49" s="18">
        <f>B50+B55</f>
        <v>90568.01</v>
      </c>
      <c r="C49" s="18"/>
      <c r="D49" s="18"/>
      <c r="E49" s="18">
        <f>E50+E55</f>
        <v>24991.556</v>
      </c>
      <c r="F49" s="18">
        <f>F50+F55</f>
        <v>22832.862</v>
      </c>
      <c r="G49" s="19">
        <f t="shared" si="0"/>
        <v>25.210736108698867</v>
      </c>
      <c r="H49" s="19">
        <f t="shared" si="1"/>
        <v>91.36230653265447</v>
      </c>
    </row>
    <row r="50" spans="1:8" s="37" customFormat="1" ht="15">
      <c r="A50" s="36" t="s">
        <v>43</v>
      </c>
      <c r="B50" s="25">
        <v>82568.01</v>
      </c>
      <c r="C50" s="25"/>
      <c r="D50" s="25"/>
      <c r="E50" s="25">
        <v>24991.556</v>
      </c>
      <c r="F50" s="25">
        <v>22832.862</v>
      </c>
      <c r="G50" s="20">
        <f t="shared" si="0"/>
        <v>27.653399906331767</v>
      </c>
      <c r="H50" s="20">
        <f t="shared" si="1"/>
        <v>91.36230653265447</v>
      </c>
    </row>
    <row r="51" spans="1:8" s="37" customFormat="1" ht="15">
      <c r="A51" s="38" t="s">
        <v>35</v>
      </c>
      <c r="B51" s="11">
        <v>50916.2</v>
      </c>
      <c r="C51" s="11"/>
      <c r="D51" s="11"/>
      <c r="E51" s="11">
        <v>14916.42</v>
      </c>
      <c r="F51" s="11">
        <v>14688.233</v>
      </c>
      <c r="G51" s="20">
        <f t="shared" si="0"/>
        <v>28.847857852706998</v>
      </c>
      <c r="H51" s="20">
        <f>SUM(F51)/E51*100</f>
        <v>98.47022945183897</v>
      </c>
    </row>
    <row r="52" spans="1:8" s="37" customFormat="1" ht="15">
      <c r="A52" s="38" t="s">
        <v>36</v>
      </c>
      <c r="B52" s="11">
        <v>11270.743</v>
      </c>
      <c r="C52" s="11"/>
      <c r="D52" s="11"/>
      <c r="E52" s="11">
        <v>3308.162</v>
      </c>
      <c r="F52" s="11">
        <v>3221.774</v>
      </c>
      <c r="G52" s="20">
        <f t="shared" si="0"/>
        <v>28.585284927533174</v>
      </c>
      <c r="H52" s="20">
        <f t="shared" si="1"/>
        <v>97.38864058047943</v>
      </c>
    </row>
    <row r="53" spans="1:8" s="37" customFormat="1" ht="30">
      <c r="A53" s="38" t="s">
        <v>39</v>
      </c>
      <c r="B53" s="11">
        <v>4798.274</v>
      </c>
      <c r="C53" s="11"/>
      <c r="D53" s="11"/>
      <c r="E53" s="11">
        <v>2189.936</v>
      </c>
      <c r="F53" s="11">
        <v>1943.843</v>
      </c>
      <c r="G53" s="20">
        <f t="shared" si="0"/>
        <v>40.51129635364716</v>
      </c>
      <c r="H53" s="20">
        <f t="shared" si="1"/>
        <v>88.76254831191413</v>
      </c>
    </row>
    <row r="54" spans="1:8" s="37" customFormat="1" ht="15">
      <c r="A54" s="38" t="s">
        <v>40</v>
      </c>
      <c r="B54" s="11">
        <f>SUM(B50)-B51-B52-B53</f>
        <v>15582.792999999994</v>
      </c>
      <c r="C54" s="11"/>
      <c r="D54" s="11"/>
      <c r="E54" s="11">
        <f>SUM(E50)-E51-E52-E53</f>
        <v>4577.0380000000005</v>
      </c>
      <c r="F54" s="11">
        <f>SUM(F50)-F51-F52-F53</f>
        <v>2979.0120000000015</v>
      </c>
      <c r="G54" s="20">
        <f t="shared" si="0"/>
        <v>19.117317415433824</v>
      </c>
      <c r="H54" s="20">
        <f t="shared" si="1"/>
        <v>65.08602288204732</v>
      </c>
    </row>
    <row r="55" spans="1:8" s="37" customFormat="1" ht="15">
      <c r="A55" s="36" t="s">
        <v>41</v>
      </c>
      <c r="B55" s="25">
        <v>8000</v>
      </c>
      <c r="C55" s="25"/>
      <c r="D55" s="25"/>
      <c r="E55" s="25"/>
      <c r="F55" s="25"/>
      <c r="G55" s="20">
        <f t="shared" si="0"/>
        <v>0</v>
      </c>
      <c r="H55" s="20" t="e">
        <f t="shared" si="1"/>
        <v>#DIV/0!</v>
      </c>
    </row>
    <row r="56" spans="1:8" s="37" customFormat="1" ht="28.5">
      <c r="A56" s="21" t="s">
        <v>46</v>
      </c>
      <c r="B56" s="22">
        <f>B57+B60</f>
        <v>305789.555</v>
      </c>
      <c r="C56" s="22"/>
      <c r="D56" s="22"/>
      <c r="E56" s="22">
        <f>E57+E60</f>
        <v>39980.425</v>
      </c>
      <c r="F56" s="22">
        <f>F57+F60</f>
        <v>27886.121000000003</v>
      </c>
      <c r="G56" s="19">
        <f t="shared" si="0"/>
        <v>9.119383099923084</v>
      </c>
      <c r="H56" s="19">
        <f t="shared" si="1"/>
        <v>69.74943613030628</v>
      </c>
    </row>
    <row r="57" spans="1:8" s="37" customFormat="1" ht="15">
      <c r="A57" s="36" t="s">
        <v>43</v>
      </c>
      <c r="B57" s="25">
        <v>179219.877</v>
      </c>
      <c r="C57" s="25"/>
      <c r="D57" s="25"/>
      <c r="E57" s="25">
        <v>34980.425</v>
      </c>
      <c r="F57" s="25">
        <v>27672.739</v>
      </c>
      <c r="G57" s="20">
        <f t="shared" si="0"/>
        <v>15.440663983939684</v>
      </c>
      <c r="H57" s="20">
        <f t="shared" si="1"/>
        <v>79.10921322425327</v>
      </c>
    </row>
    <row r="58" spans="1:8" s="37" customFormat="1" ht="30">
      <c r="A58" s="38" t="s">
        <v>39</v>
      </c>
      <c r="B58" s="11">
        <v>20033.7</v>
      </c>
      <c r="C58" s="11"/>
      <c r="D58" s="11"/>
      <c r="E58" s="11">
        <v>6676.392</v>
      </c>
      <c r="F58" s="11">
        <v>6649.78</v>
      </c>
      <c r="G58" s="20">
        <f t="shared" si="0"/>
        <v>33.192969845809806</v>
      </c>
      <c r="H58" s="20">
        <f>SUM(F58)/E58*100</f>
        <v>99.6014014755275</v>
      </c>
    </row>
    <row r="59" spans="1:8" s="37" customFormat="1" ht="15">
      <c r="A59" s="38" t="s">
        <v>40</v>
      </c>
      <c r="B59" s="11">
        <f>SUM(B57)-B58</f>
        <v>159186.177</v>
      </c>
      <c r="C59" s="11"/>
      <c r="D59" s="11"/>
      <c r="E59" s="11">
        <f>SUM(E57)-E58</f>
        <v>28304.033000000003</v>
      </c>
      <c r="F59" s="11">
        <f>SUM(F57)-F58</f>
        <v>21022.959000000003</v>
      </c>
      <c r="G59" s="20">
        <f t="shared" si="0"/>
        <v>13.206522950796163</v>
      </c>
      <c r="H59" s="20">
        <f t="shared" si="1"/>
        <v>74.27548929157905</v>
      </c>
    </row>
    <row r="60" spans="1:8" s="37" customFormat="1" ht="15">
      <c r="A60" s="36" t="s">
        <v>41</v>
      </c>
      <c r="B60" s="25">
        <f>2465+124104.678</f>
        <v>126569.678</v>
      </c>
      <c r="C60" s="25"/>
      <c r="D60" s="25"/>
      <c r="E60" s="25">
        <f>2500+35+2465</f>
        <v>5000</v>
      </c>
      <c r="F60" s="25">
        <v>213.382</v>
      </c>
      <c r="G60" s="20">
        <f t="shared" si="0"/>
        <v>0.16858856194609265</v>
      </c>
      <c r="H60" s="20">
        <f t="shared" si="1"/>
        <v>4.26764</v>
      </c>
    </row>
    <row r="61" spans="1:8" s="37" customFormat="1" ht="15">
      <c r="A61" s="21" t="s">
        <v>47</v>
      </c>
      <c r="B61" s="22">
        <f>SUM(B62)</f>
        <v>98566.859</v>
      </c>
      <c r="C61" s="22"/>
      <c r="D61" s="22"/>
      <c r="E61" s="22">
        <f>SUM(E62)</f>
        <v>0</v>
      </c>
      <c r="F61" s="22">
        <f>SUM(F62)</f>
        <v>0</v>
      </c>
      <c r="G61" s="20">
        <f t="shared" si="0"/>
        <v>0</v>
      </c>
      <c r="H61" s="20" t="e">
        <f t="shared" si="1"/>
        <v>#DIV/0!</v>
      </c>
    </row>
    <row r="62" spans="1:8" s="37" customFormat="1" ht="15">
      <c r="A62" s="36" t="s">
        <v>41</v>
      </c>
      <c r="B62" s="25">
        <v>98566.859</v>
      </c>
      <c r="C62" s="25"/>
      <c r="D62" s="25"/>
      <c r="E62" s="25"/>
      <c r="F62" s="25"/>
      <c r="G62" s="20">
        <f t="shared" si="0"/>
        <v>0</v>
      </c>
      <c r="H62" s="20" t="e">
        <f t="shared" si="1"/>
        <v>#DIV/0!</v>
      </c>
    </row>
    <row r="63" spans="1:8" s="37" customFormat="1" ht="15">
      <c r="A63" s="40" t="s">
        <v>48</v>
      </c>
      <c r="B63" s="22">
        <f>SUM(B64:B65)</f>
        <v>192940.72999999998</v>
      </c>
      <c r="C63" s="22"/>
      <c r="D63" s="22"/>
      <c r="E63" s="22">
        <f>SUM(E64:E65)</f>
        <v>17923.031</v>
      </c>
      <c r="F63" s="22">
        <f>SUM(F64:F65)</f>
        <v>17137.88</v>
      </c>
      <c r="G63" s="19">
        <f t="shared" si="0"/>
        <v>8.882458359103339</v>
      </c>
      <c r="H63" s="19">
        <f t="shared" si="1"/>
        <v>95.61931796022671</v>
      </c>
    </row>
    <row r="64" spans="1:8" s="37" customFormat="1" ht="15">
      <c r="A64" s="36" t="s">
        <v>40</v>
      </c>
      <c r="B64" s="25">
        <v>82070.117</v>
      </c>
      <c r="C64" s="25"/>
      <c r="D64" s="25"/>
      <c r="E64" s="25">
        <v>17923.031</v>
      </c>
      <c r="F64" s="25">
        <v>17137.88</v>
      </c>
      <c r="G64" s="20">
        <f t="shared" si="0"/>
        <v>20.88199776783552</v>
      </c>
      <c r="H64" s="20">
        <f t="shared" si="1"/>
        <v>95.61931796022671</v>
      </c>
    </row>
    <row r="65" spans="1:8" s="37" customFormat="1" ht="15">
      <c r="A65" s="36" t="s">
        <v>41</v>
      </c>
      <c r="B65" s="25">
        <v>110870.613</v>
      </c>
      <c r="C65" s="25"/>
      <c r="D65" s="25"/>
      <c r="E65" s="25"/>
      <c r="F65" s="25"/>
      <c r="G65" s="20">
        <f t="shared" si="0"/>
        <v>0</v>
      </c>
      <c r="H65" s="20" t="e">
        <f t="shared" si="1"/>
        <v>#DIV/0!</v>
      </c>
    </row>
    <row r="66" spans="1:8" s="37" customFormat="1" ht="57">
      <c r="A66" s="41" t="s">
        <v>49</v>
      </c>
      <c r="B66" s="22">
        <f>SUM(B67:B67)</f>
        <v>6900</v>
      </c>
      <c r="C66" s="22"/>
      <c r="D66" s="22"/>
      <c r="E66" s="22">
        <f>SUM(E67:E67)</f>
        <v>0</v>
      </c>
      <c r="F66" s="22">
        <f>SUM(F67:F67)</f>
        <v>0</v>
      </c>
      <c r="G66" s="19">
        <f t="shared" si="0"/>
        <v>0</v>
      </c>
      <c r="H66" s="19" t="e">
        <f t="shared" si="1"/>
        <v>#DIV/0!</v>
      </c>
    </row>
    <row r="67" spans="1:8" s="37" customFormat="1" ht="15">
      <c r="A67" s="36" t="s">
        <v>41</v>
      </c>
      <c r="B67" s="25">
        <v>6900</v>
      </c>
      <c r="C67" s="25"/>
      <c r="D67" s="25"/>
      <c r="E67" s="25"/>
      <c r="F67" s="25"/>
      <c r="G67" s="20">
        <f t="shared" si="0"/>
        <v>0</v>
      </c>
      <c r="H67" s="20" t="e">
        <f t="shared" si="1"/>
        <v>#DIV/0!</v>
      </c>
    </row>
    <row r="68" spans="1:8" s="37" customFormat="1" ht="39.75" customHeight="1">
      <c r="A68" s="40" t="s">
        <v>50</v>
      </c>
      <c r="B68" s="18">
        <f>SUM(B69)+B72</f>
        <v>9496</v>
      </c>
      <c r="C68" s="18"/>
      <c r="D68" s="18"/>
      <c r="E68" s="18">
        <f>SUM(E69)+E72</f>
        <v>2760.817</v>
      </c>
      <c r="F68" s="18">
        <f>SUM(F69)+F72</f>
        <v>1759.573</v>
      </c>
      <c r="G68" s="19">
        <f t="shared" si="0"/>
        <v>18.529622999157542</v>
      </c>
      <c r="H68" s="19">
        <f t="shared" si="1"/>
        <v>63.733778805331895</v>
      </c>
    </row>
    <row r="69" spans="1:8" s="37" customFormat="1" ht="15">
      <c r="A69" s="36" t="s">
        <v>43</v>
      </c>
      <c r="B69" s="25">
        <v>8770.034</v>
      </c>
      <c r="C69" s="25"/>
      <c r="D69" s="25"/>
      <c r="E69" s="25">
        <v>2760.817</v>
      </c>
      <c r="F69" s="25">
        <v>1759.573</v>
      </c>
      <c r="G69" s="20">
        <f aca="true" t="shared" si="2" ref="G69:G90">SUM(F69)/B69*100</f>
        <v>20.06346839704384</v>
      </c>
      <c r="H69" s="20">
        <f t="shared" si="1"/>
        <v>63.733778805331895</v>
      </c>
    </row>
    <row r="70" spans="1:8" s="37" customFormat="1" ht="30">
      <c r="A70" s="38" t="s">
        <v>39</v>
      </c>
      <c r="B70" s="11">
        <v>14.956</v>
      </c>
      <c r="C70" s="11"/>
      <c r="D70" s="11"/>
      <c r="E70" s="11">
        <v>11.14</v>
      </c>
      <c r="F70" s="11">
        <v>1.397</v>
      </c>
      <c r="G70" s="20">
        <f t="shared" si="2"/>
        <v>9.340732816261033</v>
      </c>
      <c r="H70" s="20">
        <f t="shared" si="1"/>
        <v>12.540394973070018</v>
      </c>
    </row>
    <row r="71" spans="1:8" s="37" customFormat="1" ht="15">
      <c r="A71" s="38" t="s">
        <v>40</v>
      </c>
      <c r="B71" s="11">
        <f>SUM(B69)-B70</f>
        <v>8755.078</v>
      </c>
      <c r="C71" s="11"/>
      <c r="D71" s="11"/>
      <c r="E71" s="11">
        <f>SUM(E69)-E70</f>
        <v>2749.677</v>
      </c>
      <c r="F71" s="11">
        <f>SUM(F69)-F70</f>
        <v>1758.1760000000002</v>
      </c>
      <c r="G71" s="19">
        <f t="shared" si="2"/>
        <v>20.08178567912245</v>
      </c>
      <c r="H71" s="19">
        <f t="shared" si="1"/>
        <v>63.94118290984723</v>
      </c>
    </row>
    <row r="72" spans="1:8" s="37" customFormat="1" ht="15">
      <c r="A72" s="36" t="s">
        <v>41</v>
      </c>
      <c r="B72" s="25">
        <v>725.966</v>
      </c>
      <c r="C72" s="25"/>
      <c r="D72" s="25"/>
      <c r="E72" s="25"/>
      <c r="F72" s="25"/>
      <c r="G72" s="20">
        <f t="shared" si="2"/>
        <v>0</v>
      </c>
      <c r="H72" s="20" t="e">
        <f>SUM(F72)/E72*100</f>
        <v>#DIV/0!</v>
      </c>
    </row>
    <row r="73" spans="1:8" s="37" customFormat="1" ht="15">
      <c r="A73" s="40" t="s">
        <v>51</v>
      </c>
      <c r="B73" s="18">
        <v>2500</v>
      </c>
      <c r="C73" s="18"/>
      <c r="D73" s="18"/>
      <c r="E73" s="18">
        <v>300</v>
      </c>
      <c r="F73" s="18"/>
      <c r="G73" s="20">
        <f t="shared" si="2"/>
        <v>0</v>
      </c>
      <c r="H73" s="20">
        <f t="shared" si="1"/>
        <v>0</v>
      </c>
    </row>
    <row r="74" spans="1:8" s="37" customFormat="1" ht="15">
      <c r="A74" s="40" t="s">
        <v>52</v>
      </c>
      <c r="B74" s="18">
        <v>37806.6</v>
      </c>
      <c r="C74" s="18"/>
      <c r="D74" s="18"/>
      <c r="E74" s="18">
        <v>12602.4</v>
      </c>
      <c r="F74" s="18">
        <v>12602.4</v>
      </c>
      <c r="G74" s="20">
        <f t="shared" si="2"/>
        <v>33.33386234149593</v>
      </c>
      <c r="H74" s="20">
        <f aca="true" t="shared" si="3" ref="H74:H90">SUM(F74)/E74*100</f>
        <v>100</v>
      </c>
    </row>
    <row r="75" spans="1:8" s="35" customFormat="1" ht="15">
      <c r="A75" s="34" t="s">
        <v>53</v>
      </c>
      <c r="B75" s="18">
        <f>SUM(B76)+B80</f>
        <v>16719.489999999998</v>
      </c>
      <c r="C75" s="18"/>
      <c r="D75" s="18"/>
      <c r="E75" s="18">
        <f>SUM(E76)+E80</f>
        <v>7052.902</v>
      </c>
      <c r="F75" s="18">
        <f>SUM(F76)+F80</f>
        <v>450.52200000000005</v>
      </c>
      <c r="G75" s="20">
        <f t="shared" si="2"/>
        <v>2.6945917608730894</v>
      </c>
      <c r="H75" s="20">
        <f t="shared" si="3"/>
        <v>6.387753580015716</v>
      </c>
    </row>
    <row r="76" spans="1:8" s="35" customFormat="1" ht="15">
      <c r="A76" s="36" t="s">
        <v>43</v>
      </c>
      <c r="B76" s="25">
        <f>816.856+160.8+919+8285.8+10+890+1000+21+196.034</f>
        <v>12299.489999999998</v>
      </c>
      <c r="C76" s="25"/>
      <c r="D76" s="25"/>
      <c r="E76" s="25">
        <f>5352.902</f>
        <v>5352.902</v>
      </c>
      <c r="F76" s="25">
        <f>218.769+36+53.875+653.87-572.473+15.001+15.946+29.534</f>
        <v>450.52200000000005</v>
      </c>
      <c r="G76" s="19">
        <f t="shared" si="2"/>
        <v>3.6629323654883263</v>
      </c>
      <c r="H76" s="20">
        <f t="shared" si="3"/>
        <v>8.41640665194319</v>
      </c>
    </row>
    <row r="77" spans="1:8" s="37" customFormat="1" ht="15">
      <c r="A77" s="38" t="s">
        <v>35</v>
      </c>
      <c r="B77" s="11"/>
      <c r="C77" s="11"/>
      <c r="D77" s="11"/>
      <c r="E77" s="11"/>
      <c r="F77" s="11"/>
      <c r="G77" s="19" t="e">
        <f t="shared" si="2"/>
        <v>#DIV/0!</v>
      </c>
      <c r="H77" s="19" t="e">
        <f t="shared" si="3"/>
        <v>#DIV/0!</v>
      </c>
    </row>
    <row r="78" spans="1:8" s="37" customFormat="1" ht="15">
      <c r="A78" s="38" t="s">
        <v>36</v>
      </c>
      <c r="B78" s="11"/>
      <c r="C78" s="11"/>
      <c r="D78" s="11"/>
      <c r="E78" s="11"/>
      <c r="F78" s="11"/>
      <c r="G78" s="19" t="e">
        <f t="shared" si="2"/>
        <v>#DIV/0!</v>
      </c>
      <c r="H78" s="19" t="e">
        <f t="shared" si="3"/>
        <v>#DIV/0!</v>
      </c>
    </row>
    <row r="79" spans="1:8" s="37" customFormat="1" ht="15">
      <c r="A79" s="38" t="s">
        <v>40</v>
      </c>
      <c r="B79" s="11">
        <f>SUM(B76)-B77-B78</f>
        <v>12299.489999999998</v>
      </c>
      <c r="C79" s="11"/>
      <c r="D79" s="11"/>
      <c r="E79" s="11">
        <f>SUM(E76)-E77-E78</f>
        <v>5352.902</v>
      </c>
      <c r="F79" s="11">
        <f>SUM(F76)-F77-F78</f>
        <v>450.52200000000005</v>
      </c>
      <c r="G79" s="20">
        <f t="shared" si="2"/>
        <v>3.6629323654883263</v>
      </c>
      <c r="H79" s="20">
        <f>SUM(F79)/E79*100</f>
        <v>8.41640665194319</v>
      </c>
    </row>
    <row r="80" spans="1:8" s="37" customFormat="1" ht="15">
      <c r="A80" s="36" t="s">
        <v>41</v>
      </c>
      <c r="B80" s="25">
        <f>1120+3300</f>
        <v>4420</v>
      </c>
      <c r="C80" s="25"/>
      <c r="D80" s="25"/>
      <c r="E80" s="25">
        <f>150+500+1050</f>
        <v>1700</v>
      </c>
      <c r="F80" s="25"/>
      <c r="G80" s="20">
        <f t="shared" si="2"/>
        <v>0</v>
      </c>
      <c r="H80" s="20">
        <f t="shared" si="3"/>
        <v>0</v>
      </c>
    </row>
    <row r="81" spans="1:8" s="37" customFormat="1" ht="40.5">
      <c r="A81" s="42" t="s">
        <v>54</v>
      </c>
      <c r="B81" s="18">
        <f>15000+775.5</f>
        <v>15775.5</v>
      </c>
      <c r="C81" s="18"/>
      <c r="D81" s="18"/>
      <c r="E81" s="18">
        <f>9000+21</f>
        <v>9021</v>
      </c>
      <c r="F81" s="18">
        <v>8000</v>
      </c>
      <c r="G81" s="20">
        <f t="shared" si="2"/>
        <v>50.71154638521759</v>
      </c>
      <c r="H81" s="20">
        <f t="shared" si="3"/>
        <v>88.68196430550937</v>
      </c>
    </row>
    <row r="82" spans="1:13" s="46" customFormat="1" ht="15.75">
      <c r="A82" s="43" t="s">
        <v>55</v>
      </c>
      <c r="B82" s="28">
        <f>B5+B14+B23+B35+B42+B49+B56+B61+B63+B66+B68+B73+B74+B75+B81</f>
        <v>2728628.6630000006</v>
      </c>
      <c r="C82" s="28"/>
      <c r="D82" s="28">
        <f>D5+D14+D23+D35+D42+D49+D56+D61+D63+D66+D68+D73+D74+D75+D81</f>
        <v>15976.729</v>
      </c>
      <c r="E82" s="28">
        <f>E5+E14+E23+E35+E42+E49+E56+E61+E63+E66+E68+E73+E74+E75+E81</f>
        <v>799267.979</v>
      </c>
      <c r="F82" s="28">
        <f>F5+F14+F23+F35+F42+F49+F56+F61+F63+F66+F68+F73+F74+F75+F81</f>
        <v>721834.675</v>
      </c>
      <c r="G82" s="20">
        <f t="shared" si="2"/>
        <v>26.45411905210936</v>
      </c>
      <c r="H82" s="20">
        <f t="shared" si="3"/>
        <v>90.3119722002525</v>
      </c>
      <c r="I82" s="44"/>
      <c r="J82" s="44"/>
      <c r="K82" s="45"/>
      <c r="L82" s="45"/>
      <c r="M82" s="45"/>
    </row>
    <row r="83" spans="1:13" s="46" customFormat="1" ht="15.75">
      <c r="A83" s="34" t="s">
        <v>43</v>
      </c>
      <c r="B83" s="28">
        <f>B6+B15+B24+B36+B43+B50+B57+B64+B69+B76+B74</f>
        <v>2286204.5110000004</v>
      </c>
      <c r="C83" s="28"/>
      <c r="D83" s="28">
        <f>D6+D15+D24+D36+D43+D50+D57+D64+D69+D76+D74</f>
        <v>10481.672999999999</v>
      </c>
      <c r="E83" s="28">
        <f>E6+E15+E24+E36+E43+E50+E57+E64+E69+E76+E74</f>
        <v>783239.479</v>
      </c>
      <c r="F83" s="28">
        <f>F6+F15+F24+F36+F43+F50+F57+F64+F69+F76+F74</f>
        <v>713621.2930000001</v>
      </c>
      <c r="G83" s="20">
        <f t="shared" si="2"/>
        <v>31.214236940152723</v>
      </c>
      <c r="H83" s="20">
        <f t="shared" si="3"/>
        <v>91.1115070337255</v>
      </c>
      <c r="I83" s="44"/>
      <c r="J83" s="44"/>
      <c r="K83" s="45"/>
      <c r="L83" s="45"/>
      <c r="M83" s="45"/>
    </row>
    <row r="84" spans="1:8" s="48" customFormat="1" ht="15">
      <c r="A84" s="47" t="s">
        <v>35</v>
      </c>
      <c r="B84" s="22">
        <f aca="true" t="shared" si="4" ref="B84:F85">B7+B16+B25+B37+B44+B51+B77</f>
        <v>754676.7779999999</v>
      </c>
      <c r="C84" s="22"/>
      <c r="D84" s="22"/>
      <c r="E84" s="22">
        <f t="shared" si="4"/>
        <v>226854.06500000003</v>
      </c>
      <c r="F84" s="22">
        <f t="shared" si="4"/>
        <v>222328.227</v>
      </c>
      <c r="G84" s="19">
        <f t="shared" si="2"/>
        <v>29.46005938982265</v>
      </c>
      <c r="H84" s="19">
        <f t="shared" si="3"/>
        <v>98.00495618185197</v>
      </c>
    </row>
    <row r="85" spans="1:8" ht="15">
      <c r="A85" s="47" t="s">
        <v>36</v>
      </c>
      <c r="B85" s="22">
        <f t="shared" si="4"/>
        <v>166121.425</v>
      </c>
      <c r="C85" s="22"/>
      <c r="D85" s="22"/>
      <c r="E85" s="22">
        <f t="shared" si="4"/>
        <v>50234.15299999999</v>
      </c>
      <c r="F85" s="22">
        <f t="shared" si="4"/>
        <v>49130.236999999994</v>
      </c>
      <c r="G85" s="19">
        <f t="shared" si="2"/>
        <v>29.57489499021574</v>
      </c>
      <c r="H85" s="19">
        <f t="shared" si="3"/>
        <v>97.80245921534699</v>
      </c>
    </row>
    <row r="86" spans="1:8" ht="15">
      <c r="A86" s="47" t="s">
        <v>56</v>
      </c>
      <c r="B86" s="22">
        <f>B70+B11+B20+B29+B39+B46+B53+B58</f>
        <v>165680.90200000006</v>
      </c>
      <c r="C86" s="22"/>
      <c r="D86" s="22"/>
      <c r="E86" s="22">
        <f>E70+E11+E20+E29+E39+E46+E53+E58</f>
        <v>76333.725</v>
      </c>
      <c r="F86" s="22">
        <f>F70+F11+F20+F29+F39+F46+F53+F58</f>
        <v>67975.551</v>
      </c>
      <c r="G86" s="19">
        <f t="shared" si="2"/>
        <v>41.02799428264821</v>
      </c>
      <c r="H86" s="19">
        <f>SUM(F86)/E86*100</f>
        <v>89.05048325625403</v>
      </c>
    </row>
    <row r="87" spans="1:8" ht="15">
      <c r="A87" s="47" t="s">
        <v>40</v>
      </c>
      <c r="B87" s="22">
        <f>B83-B84-B85-B86</f>
        <v>1199725.4060000004</v>
      </c>
      <c r="C87" s="22"/>
      <c r="D87" s="22">
        <f>D83-D84-D85-D86</f>
        <v>10481.672999999999</v>
      </c>
      <c r="E87" s="22">
        <f>E83-E84-E85-E86</f>
        <v>429817.53599999996</v>
      </c>
      <c r="F87" s="22">
        <f>F83-F84-F85-F86</f>
        <v>374187.27800000005</v>
      </c>
      <c r="G87" s="19">
        <f t="shared" si="2"/>
        <v>31.1894101874175</v>
      </c>
      <c r="H87" s="19">
        <f t="shared" si="3"/>
        <v>87.05723863253455</v>
      </c>
    </row>
    <row r="88" spans="1:8" ht="15">
      <c r="A88" s="34" t="s">
        <v>41</v>
      </c>
      <c r="B88" s="18">
        <f>B13+B22+B41+B34+B55+B60+B62+B65+B67+B72+B80+B48</f>
        <v>424148.652</v>
      </c>
      <c r="C88" s="18"/>
      <c r="D88" s="18">
        <f>D13+D22+D41+D34+D55+D60+D62+D65+D67+D72+D80+D48</f>
        <v>5495.056</v>
      </c>
      <c r="E88" s="18">
        <f>E13+E22+E41+E34+E55+E60+E62+E65+E67+E72+E80+E48</f>
        <v>6707.5</v>
      </c>
      <c r="F88" s="18">
        <f>F13+F22+F41+F34+F55+F60+F62+F65+F67+F72+F80+F48</f>
        <v>213.382</v>
      </c>
      <c r="G88" s="19">
        <f t="shared" si="2"/>
        <v>0.05030830558905089</v>
      </c>
      <c r="H88" s="19">
        <f t="shared" si="3"/>
        <v>3.1812448751397686</v>
      </c>
    </row>
    <row r="89" spans="1:8" ht="15">
      <c r="A89" s="34" t="s">
        <v>57</v>
      </c>
      <c r="B89" s="18">
        <f>SUM(B81)</f>
        <v>15775.5</v>
      </c>
      <c r="C89" s="18"/>
      <c r="D89" s="18"/>
      <c r="E89" s="18">
        <f>SUM(E81)</f>
        <v>9021</v>
      </c>
      <c r="F89" s="18">
        <f>SUM(F81)</f>
        <v>8000</v>
      </c>
      <c r="G89" s="19">
        <f t="shared" si="2"/>
        <v>50.71154638521759</v>
      </c>
      <c r="H89" s="19">
        <f t="shared" si="3"/>
        <v>88.68196430550937</v>
      </c>
    </row>
    <row r="90" spans="1:8" ht="28.5">
      <c r="A90" s="34" t="s">
        <v>58</v>
      </c>
      <c r="B90" s="18">
        <f>SUM(B73)</f>
        <v>2500</v>
      </c>
      <c r="C90" s="18"/>
      <c r="D90" s="18"/>
      <c r="E90" s="18">
        <f>SUM(E73)</f>
        <v>300</v>
      </c>
      <c r="F90" s="18"/>
      <c r="G90" s="19">
        <f t="shared" si="2"/>
        <v>0</v>
      </c>
      <c r="H90" s="19">
        <f t="shared" si="3"/>
        <v>0</v>
      </c>
    </row>
    <row r="93" spans="2:5" ht="15">
      <c r="B93" s="50"/>
      <c r="C93" s="50"/>
      <c r="D93" s="50"/>
      <c r="E93" s="50"/>
    </row>
    <row r="94" spans="2:5" ht="15">
      <c r="B94" s="50"/>
      <c r="C94" s="50"/>
      <c r="D94" s="50"/>
      <c r="E94" s="50"/>
    </row>
    <row r="95" spans="2:5" ht="15">
      <c r="B95" s="50"/>
      <c r="C95" s="50"/>
      <c r="D95" s="50"/>
      <c r="E95" s="50"/>
    </row>
  </sheetData>
  <sheetProtection/>
  <mergeCells count="8">
    <mergeCell ref="G3:G4"/>
    <mergeCell ref="H3:H4"/>
    <mergeCell ref="A1:H1"/>
    <mergeCell ref="A3:A4"/>
    <mergeCell ref="B3:B4"/>
    <mergeCell ref="E3:E4"/>
    <mergeCell ref="F3:F4"/>
    <mergeCell ref="C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2016-05-04T12:10:49Z</cp:lastPrinted>
  <dcterms:created xsi:type="dcterms:W3CDTF">2015-04-07T07:35:57Z</dcterms:created>
  <dcterms:modified xsi:type="dcterms:W3CDTF">2016-05-04T12:11:22Z</dcterms:modified>
  <cp:category/>
  <cp:version/>
  <cp:contentType/>
  <cp:contentStatus/>
</cp:coreProperties>
</file>