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690" windowHeight="6480" activeTab="0"/>
  </bookViews>
  <sheets>
    <sheet name="КАПІТАЛЬНІ ВКЛАДЕННЯ" sheetId="1" r:id="rId1"/>
  </sheets>
  <definedNames>
    <definedName name="_xlnm.Print_Titles" localSheetId="0">'КАПІТАЛЬНІ ВКЛАДЕННЯ'!$8:$9</definedName>
    <definedName name="_xlnm.Print_Area" localSheetId="0">'КАПІТАЛЬНІ ВКЛАДЕННЯ'!$A$1:$G$154</definedName>
  </definedNames>
  <calcPr fullCalcOnLoad="1"/>
</workbook>
</file>

<file path=xl/sharedStrings.xml><?xml version="1.0" encoding="utf-8"?>
<sst xmlns="http://schemas.openxmlformats.org/spreadsheetml/2006/main" count="157" uniqueCount="150">
  <si>
    <t>Найменування заходів,  об'єктів будівництва та реконструкції відповідно до проектно-кошторисної докуменртації</t>
  </si>
  <si>
    <t>КЕКВК*</t>
  </si>
  <si>
    <t>Видатки:</t>
  </si>
  <si>
    <t>Код району, міста (обласного значенння)</t>
  </si>
  <si>
    <t>Касові видатки  (за звітом ДКУ)</t>
  </si>
  <si>
    <t>Дані</t>
  </si>
  <si>
    <t xml:space="preserve">КТКВК     </t>
  </si>
  <si>
    <t>150000</t>
  </si>
  <si>
    <t>Будівництво</t>
  </si>
  <si>
    <t>150101</t>
  </si>
  <si>
    <t xml:space="preserve">Капітальні вкладення </t>
  </si>
  <si>
    <t>Будівництво огорожі міського полігону твердих побутових відходів в селищі В.Корениха,у т.ч. проектні роботи та екпертиза</t>
  </si>
  <si>
    <t>Ліквідація наслідків підтоплення житлового масиву Тернівка-будівництво дренажного колектора для захисту від підтоплення житлового масиву Тернівка у м. Миколаєві,у т.ч. проектні роботи та експертиза</t>
  </si>
  <si>
    <t>Благоустрій території для створення містечка спорту "Корабельний" в районі спортивного комплексу "Водолій" за адресою:пр.Жовтневий, 325,327  в м.Миколаєві  (нове будівництво), у т.ч корегування проекту, експертиза та будівельні роботи</t>
  </si>
  <si>
    <t>Будівництво молодіжно- спортивного майданчика у сквері " Пролетарський" по вул. Адміральській ріг вул. Садової у м. Миколаєві</t>
  </si>
  <si>
    <t xml:space="preserve">Проведення невідкладних відновлювальних робіт, будівництво та реконструкція загальноосвітніх навчальних закладів </t>
  </si>
  <si>
    <t>Придбання житла воїнам-інтернаціоналістам, а в разі їх смерті – членам сімей, за якими згідно із законодавством зберігається право подальшого перебування на квартирному обліку</t>
  </si>
  <si>
    <t xml:space="preserve">Розробка схем та проектних рішень масового застосування </t>
  </si>
  <si>
    <t>Детальний план території мікрорайону Богоявленський у Корабельному районі м.Миколаєва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</si>
  <si>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</si>
  <si>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Внески органів місцевого самоврядування у статутні капітали  КП "ТРК"Март"</t>
  </si>
  <si>
    <t>Внески органів місцевого самоврядування у статутні капітали  КП ММР ПДЗОВ  "Дельфін"</t>
  </si>
  <si>
    <t>Внески органів місцевого самоврядування у статутні капітали МКП"Миколаївводоканал"</t>
  </si>
  <si>
    <t>Внески органів місцевого самоврядування у статутні капітали  КП ММР "Центр захисту тварин"</t>
  </si>
  <si>
    <t xml:space="preserve"> по місту Миколаєву</t>
  </si>
  <si>
    <t>По ЗАХОДАХ, ОБ'ЄКТАХ</t>
  </si>
  <si>
    <t>(тис. грн.)</t>
  </si>
  <si>
    <t>про використання коштів, спрямованих на фінансування капітальних вкладень (КТКВК 150000) та внесків органів влади та органів місцевого самоврядування у статутні капітали суб'єктів підприємницької діяльності (КТКВК 180409)</t>
  </si>
  <si>
    <t>за 2016 рік</t>
  </si>
  <si>
    <t>Затверджено на 2016 рік з урахуванням внесених змін</t>
  </si>
  <si>
    <t>Внески органів місцевого самоврядування у статутні капітали  ЖКП ММР "Південь"</t>
  </si>
  <si>
    <t>Внески органів місцевого самоврядування у статутні капітали  ЖКП ММР "Бриз"</t>
  </si>
  <si>
    <t>Внески органів місцевого самоврядування у статутні капітали  КП "Дорога</t>
  </si>
  <si>
    <t>Внески органів місцевого самоврядування у статутні капітали  КП ММР  "Інститут соціально-економічного розвитку міста"</t>
  </si>
  <si>
    <t>Внески органів місцевого самоврядування у статутні капітали  КП "ЕЛУ автодоріг"</t>
  </si>
  <si>
    <t>Придбання житла для створення дитячого будинку сімейного типу</t>
  </si>
  <si>
    <t xml:space="preserve"> РЕЗЕРВНИЙ ФОНД    згідно рішень МВК від 13.05.16 № 453, від 30.05.2016 № 500 - на прибдання Братковій М.Г та Братковій С.Г. двокімнатрої квартири</t>
  </si>
  <si>
    <t xml:space="preserve"> Житлове будівництво та придбання житла для окремих категорій населення</t>
  </si>
  <si>
    <t>Нове будівництво дитячого дошкільного закладу в мкр. Північний у м.Миколаєві, у т.ч. проектні роботи та експертиза</t>
  </si>
  <si>
    <t xml:space="preserve">Технічне переоснащення системи керування опаленням теплового пункту ДНЗ №12 по вул.Лазурна,22  у м.Миколаєві , у т.ч. проектно-вишукувальні роботи та експертиза </t>
  </si>
  <si>
    <t xml:space="preserve">Технічне переоснащення системи керування опаленням теплового пункту  ДНЗ № 139 по вул.Океанівська,28 А у м.Миколаєві , у т.ч. проектно-вишукувальні роботи та експертиза </t>
  </si>
  <si>
    <t xml:space="preserve">Технічне переоснащення системи керування опаленням теплового пункту  ДНЗ № 133 по вул.Металургів,30 у м.Миколаєві , у т.ч. проектно-вишукувальні роботи та експертиза </t>
  </si>
  <si>
    <t>Технічне переоснащення системи керування опаленням теплового пункту ДНЗ №144 по вул.Океанівська, 42  у м.Миколаєві , у т.ч. проектно-вишукувальні роботи та експертиза</t>
  </si>
  <si>
    <t xml:space="preserve">Технічне переоснащення системи керування опаленням теплового пункту Палацу творчості учнів м.Миколаєва по вул. Адміральська,31   у м.Миколаєвї , у т.ч. проектно-вишукувальні роботи та експертиза </t>
  </si>
  <si>
    <t xml:space="preserve">Технічне переоснащення системи керування опаленням теплового пункту ДНЗ №5 по вул.Колодязна, 41  у м.Миколаєві , у т.ч. проектно-вишукувальні роботи та експертиза </t>
  </si>
  <si>
    <t>Реконструкція покрівлі ДНЗ №67 по пр. Миру, 7/1 у м.Миколаєві, у т.ч. проектно-вишукувальні роботи та експертиза робочого проекту</t>
  </si>
  <si>
    <t>Реконструкція покрівлі ДНЗ №60 по вул.Васляєва, 25/1 у м.Миколаєві, в т.ч. проектно-вишукувальні роботи та експертиза</t>
  </si>
  <si>
    <t>Реконструкція покрівлі ДНЗ №115 по вул.Нікольська, 19 в м.Миколаєві, у т.ч. проектно-вишукувальні роботи та експертиза</t>
  </si>
  <si>
    <t>Реконструкція будівлі ДНЗ №138 по вул. Г.Попеля, 79, у м.Миколаєві у т.ч. проектно-вишукувальні роботи та експертиза</t>
  </si>
  <si>
    <t>Нове будівництво котельні ЗОШ № 4 по вул.М.Морській,78  у м.Миколаєві, в т.ч. проектно-вишукувальні роботи та експертиза</t>
  </si>
  <si>
    <t>Нове будівництво котельні ЗОШ № 29 по вул.Гетьмана Сагайдачного(Ватутіна),124  у м.Миколаєві, в т.ч. проектно-вишукувальні роботи та експертиза</t>
  </si>
  <si>
    <t>Будівництво спортивної зали економічного ліцею №1 по вул.Артема, 9 у м.Миколаєві, у т.ч. проектно-вишукувальні роботи та експертиза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</si>
  <si>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36, в т.ч. проектно-вишукувальні роботи та експертиза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</si>
  <si>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36(за рахунок субвенції з державного бюджету місцевим бюджетам на здійснення заходів щодо соціально- економічного розвитку окремих територій)</t>
  </si>
  <si>
    <t>Нове будівництво котельні  ЗОШ № 45 по вул.4-ій Поздовжній, 58, у м.Миколаєві, в т.ч. проектно-вишукувальні роботи  та експертиза</t>
  </si>
  <si>
    <t xml:space="preserve">Технічне переоснащення системи керування опаленням теплового пункту ЗОШ № 30 по вул.Квітнева,50   у м.Миколаєві, у т.ч. проектно-вишукувальні роботи та експертиза </t>
  </si>
  <si>
    <t xml:space="preserve">Технічне переоснащення системи керування опаленням теплового пункту ЗОШ №28 по вул.Чайковського,30   у м.Миколаєві , у т.ч. проектно-вишукувальні роботи та експертиза </t>
  </si>
  <si>
    <t>Реконструкція з прибудовою ЗОШ № 36 по вул. Чигрина, 143 у м.Миколаєві  в т.ч. проектно-вишукувальні роботи та експертиза</t>
  </si>
  <si>
    <t xml:space="preserve">Технічне переоснащення системи керування опаленням теплового пункту  ЗОШ №33 по вул.Океанівська, 12 у м.Миколаєві , у т.ч. проектно-вишукувальні роботи та експертиза </t>
  </si>
  <si>
    <t xml:space="preserve">Технічне переоснащення системи керування опаленням теплового пункту ЗОШ №3 по вул.Чкалова,114  у м.Миколаєві , у т.ч. проектно-вишукувальні роботи та експертиза </t>
  </si>
  <si>
    <t xml:space="preserve">Технічне переоснащення системи керування опаленням теплового пункту ЗОШ №24 по вул.Лісова, 1  у м.Миколаєві, у т.ч. проектно-вишукувальні роботи та експертиза </t>
  </si>
  <si>
    <t>Реконструкція покрівлі ЗОШ №40 по вул.Металургів, 97/1  у м.Миколаєві, у  т.ч.проектно-вишукувальні роботи та експертиза</t>
  </si>
  <si>
    <t>Реконструкція будівлі ( для забезпечення інклюзивної форми навчання) МСШ МіПР «Академія дитячої творчості» по вул.Олійника,36 у м.Миколаєві, в т.ч. проектно-вишукувальні роботи та експертиза</t>
  </si>
  <si>
    <t>Реконструкція покрівлі ЗОШ №64 по вул.Архітектора Старова, 6Г у м.Миколаєві, в т.ч. проектно-вишукувальні роботи та експертиза</t>
  </si>
  <si>
    <t>Реконструкція покрівлі ЗОШ №54 по пр.Корабелів, 10-б в м.Миколаєві, у т.ч. проектно-вишукувальні роботи та експертиза</t>
  </si>
  <si>
    <t>Реконструкція прибудови до ЗОШ №22 по вул. Робочій,8 у м.Миколаєві, у т.ч. проектно-вишукувальні роботи та експертиза</t>
  </si>
  <si>
    <t>Реконструкція покрівлі ЗОШ №20 по вул.Космонавтів, 70 в м.Миколаєві, у т.ч. проектно-вишукувальні роботи та експертиза</t>
  </si>
  <si>
    <t>Реконструкція спортивного майданчику ЗОШ №44 по вул. Знаменській,2/6 у м.Миколаєві, в т.ч. проектно-вишукувальні роботи та експертиза</t>
  </si>
  <si>
    <t>Реконструкція покрівлі гімназії №4 по вул.Лазурній,48 у м.Миколаєві, в т.ч. проектно-вишукувальні роботи та експертиза</t>
  </si>
  <si>
    <t>Реконструкція покрівлі ЗОШ № 59 по вул.Адміральській,24 у м.Миколаєві, у т.ч. проектно-вишукувальні роботи та експертиза</t>
  </si>
  <si>
    <t>Реставрація Миколаївської гімназії №2 по вул. Адміральській, 24 у м. Миколаєві, в т.ч. проектно-вишукувальні роботи та експертиза</t>
  </si>
  <si>
    <t>Реставрація (протиаварійні роботи) Першої Української гімназії ім. М. Аркаса по вул. Нікольській, 34 в м. Миколаїв, в т.ч. проектні роботи та експертиза</t>
  </si>
  <si>
    <t>Будівництво спортивного корпусу для СДЮШОР з фехтування з адміністративно-побутовою будівлею по просп.Героїв Сталінграда,4, м.Миколаїв, в т.ч. проектні роботи та експертиза</t>
  </si>
  <si>
    <t>Нове будівництво Центру легкої атлетики та ігрових видів спорту за адресою: вул.Спортивна,1/1 м.Миколаєва, у т.ч. проектні роботи та експертиза</t>
  </si>
  <si>
    <t>Нове будівництво футбольного поля №1 Центрального міського стадіону по вул. Спортивній, 1/1 в м.Миколаєві, у т.ч. проектні роботи та експертиза</t>
  </si>
  <si>
    <t>Будівництво трансформаторної підстанції для електропостачання Центрального міського стадіону по вул.Спортивній, 1/1 в м.Миколаєві, у  т.ч. проектні роботи та експертиза</t>
  </si>
  <si>
    <t>Будівництво трансформаторної підстанції для електропостачання Центрального міського стадіону по вул.Спортивній, 1/1 в м.Миколаїв(за рахунок субвенції з державного бюджету місцевим бюджетам на здійснення заходів щодо соціально- економічного розвитку окремих територій)</t>
  </si>
  <si>
    <t>Реконструкція існуючого футбольного поля Центрального міського стадіону по вул.Спортивній,1/1 в м.Миколаєві, в т.ч. проектні роботи та експертиза</t>
  </si>
  <si>
    <t>Реконструкція спортивного майданчика Центрального міського стадіону по вул.Спортивній,1/1 в м.Миколаєві, в т.ч. проектні роботи та експертиза</t>
  </si>
  <si>
    <t>Реконструкція елінгу №1 ДЮСШ №2  з надбудовою спортивного залу  за адресою: вул. Спортивна,11, у т.ч. проектні роботи та експертиза</t>
  </si>
  <si>
    <t>Реконструкція приміщення ДЮСШ №3, у т.ч. проектні роботи та експертиза</t>
  </si>
  <si>
    <t>Реставрація фасадів та даху  будівлі Миколаївської спеціалізованої дитячо-юнацької спортивної школи олімпійського резерву з фехтування по вул. Пушкінській,11 в м. Миколаєві, у т.ч. проектні роботи та експертиза</t>
  </si>
  <si>
    <t>Придбання приміщення за адресою: вул.Привільна,41/1, під розміщення сімейної амбулаторії №1 КЗ ММР "ЦПМСД № 5"</t>
  </si>
  <si>
    <t>Реконструкція  сімейної амбулаторії № 4 комунального закладу Миколаївської міської ради «Центр первинної медико-санітарної допомоги № 2» по вул. 11 Поздовжня, 45 у м.Миколаєві, у т.ч. проектні роботи та експертиза</t>
  </si>
  <si>
    <t>Реконструкція існуючого будинку (літ. Н-1 автоклавна - кафе) під розміщення травматологічного пункту МЛШМД за адресою: вул. Корабелів, 14-в, м. Миколаїв, в т.ч. проектні роботи та експертиза</t>
  </si>
  <si>
    <t>Реконструкція існуючої будівлі амбулаторно-поліклінічного відділення міської поліклініки №4 за адресою: м.Миколаїв, пров. Герцена, 2, у т.ч. проектно-кошторисна документація та експертиза</t>
  </si>
  <si>
    <t>Реконструкція наявних приміщень реабілітаційного центру Міської дитячої поліклініки №1 за адресою: пров.Кобера,15-А під розміщення сімейної амбулаторії та влаштування рентгенкабінету, в т.ч. проектні роботи та екпертиза</t>
  </si>
  <si>
    <t>Реконструкція сімейної амбулаторії  №4 по вул.Чкалова,93 центра первинної медико-санітарної допомоги №3 в м.Миколаєві,  у т.ч.  проектні роботи та експертиза</t>
  </si>
  <si>
    <t xml:space="preserve">Реконструкція існуючих будівель лікувально-профілактичних закладів під квартири для медичних працівників, в тому числі проектні роботи та експертиза </t>
  </si>
  <si>
    <t>Реконструкція системи опалення міської лікарні №4, у тому числі проектно-кошторисна документація та експертиза</t>
  </si>
  <si>
    <t>Реконструкція системи опалення з встановленням електричних котлів потужністю 360 кВт в Міському пологовому будинку №2 по вул. Будівельників,8 у м.Миколаєві, у тому числі проектно-кошторисна документація та експертиза</t>
  </si>
  <si>
    <t>Реконструкція приміщення під розміщення сімейної амбулаторії №1 КЗ ММР "ЦПМСД №5" за адресами: вул.Привільна,41/1 та вул.Привільна,41/3, в тому числі проектно-кошторисна документація та експертиза</t>
  </si>
  <si>
    <t>Реконструкція сімейної амбулаторії  КЗ ММР «ЦПМСД №1» за адресою: м.Миколаїв, провулок 1 Шосейний,1, в тому числі проектно-кошторисна документація та експертиза</t>
  </si>
  <si>
    <t xml:space="preserve">Реконструкція будівлі по вул. Миколаївській, 26 для розміщення управління соціальних виплат і компенсацій Ленінського району, у т.ч. проектні роботи та експертиза </t>
  </si>
  <si>
    <t>Реконструкція навісу у відділеннях Ленінського району міського територіального центру за адресою : вул.12 Поздовжня,50-А, в т.ч. проектні роботи та експертиза</t>
  </si>
  <si>
    <t>КУ Миколаївський зоопарк. Будівництво приміщення для жирафів з літніми вольєрами за адресою: пл.Леонтовича, 1 в м.Миколаєві (корегування проекту та завершення робіт)</t>
  </si>
  <si>
    <t>КУ Миколаївський зоопарк. Будівництво оглядового пішохідного містка між вольєрами слоновника та жирафника за адресою: пл.М.Леонтовича,1 у м.Миколаєві(за рахунок субвенції з державного бюджету місцевим бюджетам на здійснення заходів щодо соціально- економічного розвитку окремих територій)</t>
  </si>
  <si>
    <t>Реконструкція нежитлових приміщень по вул.Спаській, 23/1 в м.Миколаєві під дитячу художню школу, в т.ч. проектно-вишукувальні роботи та експертиза</t>
  </si>
  <si>
    <t xml:space="preserve">Реконструкція нежитлового приміщення по пров. Прорізному,21/2 під дитячу музичну школу №6, в т.ч. проектно-вишукувальні  роботи та експертиза </t>
  </si>
  <si>
    <t xml:space="preserve">Реконструкція господарчого приміщення під сантехвузол з підведенням інженерних комунікацій: систем водопостачання та водовідведення Малокорениського будинку культури за адресою: вул. Клубна,10 в м.Миколаєві, в т.ч. проектно-вишукувальні  роботи та експертиза </t>
  </si>
  <si>
    <t>Реконструкція концертної зали  ММПК "Молодіжний" по пр.Богоявленському,39-а  в м.Миколаєві з облаштуванням допоміжних приміщень та котельні, в т.ч. проектно-вишукувальні роботи та експертиза</t>
  </si>
  <si>
    <t xml:space="preserve">Реконструкція павільйону-кафе з підвалом під культурно-ігровий комплекс в БУ ММР КІК"ДМ"Казка" по вул.Декабристів, 38-а в м.Миколаєві, в т.ч. проектно-вишукувальні роботи та експертиза </t>
  </si>
  <si>
    <t>Реконструкція благоустрою прилеглої території Миколаївського міського палацу культури «Молодіжний» за адресою: вул.Театральна,1 у м.Миколаєві, в т.ч. проектно-вишукувальні роботи та експертиза (співфінансування)</t>
  </si>
  <si>
    <t>Реконструкція благоустрою прилеглої території Миколаївського міського палацу культури «Молодіжний» за адресою: вул.Театральна,1 у м.Миколаєві (за рахунок субвенції з державного бюджету місцевим бюджетам на здійснення заходів щодо соціально- економічного розвитку окремих територій)</t>
  </si>
  <si>
    <t>Збереження, розвиток, реконструкція та реставрація пам'яток історії та культури</t>
  </si>
  <si>
    <t>Реставрація пам’ятки історії  місцевого значення, в якій навчався Ш.Кобер-дитяча музична школа №8 по вул.1 Госпітальна,1 в м.Миколаєві (першочергові протиаварійні роботи), в т.ч. проектно-вишукувальні роботи та експертиза</t>
  </si>
  <si>
    <t>Будівництво берегоукріплювальних споруд уздовж р. Південний Буг в районі старого кладовища в мкр. Соляні (вул. Берегова), у тому числі корегування проекту та експертиза</t>
  </si>
  <si>
    <t>Будівництво мереж вуличного освітлення  перегону, між вул.Маячною - вул.Менделєєва в м.Миколаєві, у тому числі корегування та експертиза проектно-кошторисної документації</t>
  </si>
  <si>
    <t>Будівництво дитячого спортивного майданчика на розі вулиць 5-ї та 2-ї Ялтинської у мікрорайоні Ялти в м. Миколаєві</t>
  </si>
  <si>
    <t>Будівництво мереж водовідведення та напірного колектору у мкр.Варварівка ІІ черга,у тому числі виготовлення та експертиза проектно-кошторисної документації</t>
  </si>
  <si>
    <t>Ліквідація  підтоплення Широкої Балки, будівництво дренажного колектору,у т.ч. корегування та експертиза проектно-кошторисної документації</t>
  </si>
  <si>
    <t xml:space="preserve">Будівництво водопроводу в мкр. Тернівка м.Миколаєва, у т.ч. корегування та екпертиза проектно-кошторисної документації </t>
  </si>
  <si>
    <t>Нове будівництво тролейбусної лінії по вул.Лазурній та вул.Озерній у м.Миколаєві, у т.ч. проектні роботи та експертиза</t>
  </si>
  <si>
    <t>Будівництво   радіофікованої АСУДР(ІІ черга)(світлофорні об’єкти), у тому числі виготовлення та експертиза проектно-кошторисної документації</t>
  </si>
  <si>
    <t>Будівництво світлофорного об'єкту в м.Миколаєві по вул.Садовій ріг вул.Кузнецької, у т.ч. проектні роботи та експертиза</t>
  </si>
  <si>
    <t>Будівництво другої черги каналізаційної мережі в Залізничному селищі міста Миколаєва,у т.ч. корегування  проектно-кошторисної документації та експертиза</t>
  </si>
  <si>
    <t>Будівництво світлофорного об'єкту в м.Миколаєві по вул.Космонавтів ріг вул.Турбінної , у т.ч. проектні роботи та експертиза</t>
  </si>
  <si>
    <t>Будівництво світлофорного об'єкту в м.Миколаєві по пр.Миру  ріг вул.Новозаводської , у т.ч. проектні роботи та експертиза</t>
  </si>
  <si>
    <t>Будівництво світлофорного об'єкту в м.Миколаєві по вул.Херсонське шосе  ріг вул.Новозаводської , у т.ч. проектні роботи та експертиза</t>
  </si>
  <si>
    <t>Будівництво світлофорного об'єкту в м.Миколаєві по вул.Троїцькій  ріг вул.Новозаводської , у т.ч. проектні роботи та експертиза</t>
  </si>
  <si>
    <t xml:space="preserve">Реконструкція гуртожитку по вул. Нагірній, 73-а в м. Миколаєві, у т.ч. проектні роботи та експертиза </t>
  </si>
  <si>
    <t>Реконструкція житлового будинку по вул. Айвазовського, 3 у м.Миколаєві, у т.ч. проектні роботи та експертиза</t>
  </si>
  <si>
    <t>Реконструкція диспетчерського обладнання 59 ліфтів у багатоповерхових житлових будинках у місті Миколаєві, Інгульський район, у т.ч. проектні роботи та експертиза</t>
  </si>
  <si>
    <t>Реконструкція фонтану в Аркасівському сквері по вул.Пушкінській ріг вул.Адміральської в Центральному районі м. Миколаєва, у т.ч. проектні роботи та експертиза</t>
  </si>
  <si>
    <t>Реконструкція адміністративної будівлі з прилеглою територією на території парку-пам’ятки садово-паркового мистецтва "Перемоги" в Центральному районі м.Миколаєва, у тому числі проектні роботи та експертиза</t>
  </si>
  <si>
    <t>Реконструкція площі Соборної по вул.Адміральській в м. Миколаєві, у т.ч. проектні роботи та експертиза</t>
  </si>
  <si>
    <t>Реконструкція фонтану в сквері біля будівлі облдержадміністрації по вул.Адміральській в м. Миколаєві, у т.ч. проектні роботи та експертиза</t>
  </si>
  <si>
    <t>Реконструкція світлофорного об'єкта в м.Миколаєві по вул.В.Морській ріг вул.Садової, у т.ч. проектні роботи та експертиза</t>
  </si>
  <si>
    <t>Детальний план території багатоповерхової житлової забудови 8-го мікрорайону у Корабельному районі м.Миколаєва</t>
  </si>
  <si>
    <t>Розробки проекту комплексної схеми розміщення тимчасових споруд для провадження підприємницької діяльності на території м.Миколаєва та архетипів</t>
  </si>
  <si>
    <t>Детальний план території частини мкр.  Балабанівка  у Корабельному районі  м.Миколаєва</t>
  </si>
  <si>
    <t>Нове будівництво місцевої автоматизованої системи централізованого оповіщення про загрозу або виникнення надзвичайних ситуацій у м.Миколаєві, в тому числі проектні роботи та експертиза</t>
  </si>
  <si>
    <t>Будівництво каналізації на території приватного сектору у мікрорайоні Ялти у м.Миколаєві, у тому числі проектні роботи та експертиза</t>
  </si>
  <si>
    <t>Реконструкція міні-стадіону з влаштуванням спортивного майданчика за адресою:вул.Озерна,29,31  у м.Миколаєві, у тому числі проектні роботи та експертиза</t>
  </si>
  <si>
    <t>Реконструкція стадіону «Юність» за адресою: вул. Погранична, 15 у м. Миколаєві, у тому числі проектні роботи та експертиза</t>
  </si>
  <si>
    <t>Нове будівництво дитячого спортивно-ігрового комплексу «Лінкор» на території містечка «Корабельний» по  пр.Богоявленському,  325, 327  у Корабельному районі м.Миколаєва, у т.ч. проектні роботи та експертиза</t>
  </si>
  <si>
    <t>Нове будівництво водогону по вул.Відрождення у Корабельному районі м.Миколаєва, у т.ч. проектні роботи та експертиза</t>
  </si>
  <si>
    <t>Будівництво каналізаційних мереж по вул. Гаражній, в т.ч.  проектно-кошторисна документація та експертиза</t>
  </si>
  <si>
    <t>Будівництво каналізаційних мереж по вул. Вінграновського, від вул. Горохівської до вул. Троїцької, у т.ч. проектно-кошторисна документація та експертиза</t>
  </si>
  <si>
    <t>Будівництво каналізаційних мереж по вул. 10 Лінії від вул. 2 Поздовжньої до вул. 6 Поздовжньої, у т.ч. проектно-кошторисна документація та експертиза</t>
  </si>
  <si>
    <t>КУ Миколаївський зоопарк. Будівництво оглядового пішохідного містка між вольєрами слоновника та жирафника за адресою: пл.М.Леонтовича,1 у м.Миколаєві (співфінансування)</t>
  </si>
  <si>
    <t>Реконструкція диспетчерського обладнання  ліфтів у багатоповерхових житлових будинках у місті Миколаєві, Корабельний район, у т.ч. проектні роботи та експертиза</t>
  </si>
  <si>
    <t xml:space="preserve">Технічне переоснащення системи керування опаленням теплового пункту  ДНЗ № 17 по вул.Космонавтів, 144 А  у м.Миколаєві , у т.ч. проектно-вишукувальні роботи та експертиза </t>
  </si>
  <si>
    <t>Капітальне будівництво (придбання) житла</t>
  </si>
  <si>
    <t xml:space="preserve"> Капітальне будівництво (придбання) інших об'єктів</t>
  </si>
  <si>
    <t>Реконструкція житлового фонду (приміщень)</t>
  </si>
  <si>
    <t>Реконструкція та реставрація інших об'єктів</t>
  </si>
  <si>
    <t xml:space="preserve"> Реставрація пам'яток культури, історії та архітектури </t>
  </si>
  <si>
    <t>Капітальне будівництво (придбання) інших об'єктів</t>
  </si>
  <si>
    <t>Реставрація пам'яток культури, історії та архітектури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</si>
</sst>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#,##0.000"/>
    <numFmt numFmtId="197" formatCode="#,##0.0"/>
    <numFmt numFmtId="198" formatCode="0.000000"/>
    <numFmt numFmtId="199" formatCode="0.0000000"/>
    <numFmt numFmtId="200" formatCode="[$-422]d\ mmmm\ yyyy&quot; р.&quot;"/>
    <numFmt numFmtId="201" formatCode="#,##0.0000"/>
    <numFmt numFmtId="202" formatCode="#,##0.00000"/>
    <numFmt numFmtId="203" formatCode="#,##0.0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6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97" fontId="4" fillId="0" borderId="10" xfId="0" applyNumberFormat="1" applyFont="1" applyFill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top" wrapText="1"/>
    </xf>
    <xf numFmtId="197" fontId="4" fillId="0" borderId="10" xfId="0" applyNumberFormat="1" applyFont="1" applyFill="1" applyBorder="1" applyAlignment="1">
      <alignment horizontal="center" vertical="center"/>
    </xf>
    <xf numFmtId="197" fontId="9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14" fillId="0" borderId="10" xfId="0" applyNumberFormat="1" applyFont="1" applyFill="1" applyBorder="1" applyAlignment="1" applyProtection="1">
      <alignment horizontal="left" vertical="top" wrapText="1"/>
      <protection locked="0"/>
    </xf>
    <xf numFmtId="1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left" vertical="top" wrapText="1"/>
      <protection locked="0"/>
    </xf>
    <xf numFmtId="4" fontId="9" fillId="0" borderId="10" xfId="0" applyNumberFormat="1" applyFont="1" applyFill="1" applyBorder="1" applyAlignment="1" applyProtection="1">
      <alignment horizontal="left" vertical="top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left" vertical="center" wrapText="1"/>
    </xf>
    <xf numFmtId="197" fontId="5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left" vertical="top" wrapText="1"/>
      <protection locked="0"/>
    </xf>
    <xf numFmtId="197" fontId="13" fillId="0" borderId="10" xfId="50" applyNumberFormat="1" applyFont="1" applyFill="1" applyBorder="1" applyAlignment="1">
      <alignment vertical="top" wrapText="1"/>
      <protection/>
    </xf>
    <xf numFmtId="197" fontId="13" fillId="0" borderId="10" xfId="50" applyNumberFormat="1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left" vertical="top" wrapText="1"/>
    </xf>
    <xf numFmtId="197" fontId="11" fillId="0" borderId="10" xfId="50" applyNumberFormat="1" applyFont="1" applyFill="1" applyBorder="1" applyAlignment="1">
      <alignment vertical="top" wrapText="1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G154"/>
  <sheetViews>
    <sheetView tabSelected="1" zoomScaleSheetLayoutView="80" workbookViewId="0" topLeftCell="C1">
      <selection activeCell="M138" sqref="M138"/>
    </sheetView>
  </sheetViews>
  <sheetFormatPr defaultColWidth="9.00390625" defaultRowHeight="12.75"/>
  <cols>
    <col min="1" max="1" width="12.625" style="2" hidden="1" customWidth="1"/>
    <col min="2" max="2" width="12.375" style="6" hidden="1" customWidth="1"/>
    <col min="3" max="3" width="9.875" style="5" customWidth="1"/>
    <col min="4" max="4" width="8.75390625" style="3" customWidth="1"/>
    <col min="5" max="5" width="51.00390625" style="3" customWidth="1"/>
    <col min="6" max="6" width="16.375" style="2" customWidth="1"/>
    <col min="7" max="7" width="17.625" style="2" customWidth="1"/>
    <col min="8" max="16384" width="9.125" style="2" customWidth="1"/>
  </cols>
  <sheetData>
    <row r="2" spans="5:7" ht="15.75">
      <c r="E2" s="7"/>
      <c r="F2" s="7"/>
      <c r="G2" s="7"/>
    </row>
    <row r="3" spans="1:7" ht="18.75">
      <c r="A3" s="50" t="s">
        <v>5</v>
      </c>
      <c r="B3" s="50"/>
      <c r="C3" s="50"/>
      <c r="D3" s="50"/>
      <c r="E3" s="50"/>
      <c r="F3" s="50"/>
      <c r="G3" s="50"/>
    </row>
    <row r="4" spans="1:7" ht="61.5" customHeight="1">
      <c r="A4" s="51" t="s">
        <v>27</v>
      </c>
      <c r="B4" s="51"/>
      <c r="C4" s="51"/>
      <c r="D4" s="51"/>
      <c r="E4" s="51"/>
      <c r="F4" s="51"/>
      <c r="G4" s="51"/>
    </row>
    <row r="5" spans="1:7" ht="15.75" customHeight="1">
      <c r="A5" s="46" t="s">
        <v>24</v>
      </c>
      <c r="B5" s="46"/>
      <c r="C5" s="46"/>
      <c r="D5" s="46"/>
      <c r="E5" s="46"/>
      <c r="F5" s="46"/>
      <c r="G5" s="46"/>
    </row>
    <row r="6" spans="1:7" ht="15.75" customHeight="1">
      <c r="A6" s="45" t="s">
        <v>28</v>
      </c>
      <c r="B6" s="46"/>
      <c r="C6" s="46"/>
      <c r="D6" s="46"/>
      <c r="E6" s="46"/>
      <c r="F6" s="46"/>
      <c r="G6" s="46"/>
    </row>
    <row r="7" spans="5:7" ht="15.75">
      <c r="E7" s="4"/>
      <c r="F7" s="1"/>
      <c r="G7" s="1" t="s">
        <v>26</v>
      </c>
    </row>
    <row r="8" spans="1:7" ht="35.25" customHeight="1">
      <c r="A8" s="52" t="s">
        <v>3</v>
      </c>
      <c r="B8" s="52"/>
      <c r="C8" s="52" t="s">
        <v>6</v>
      </c>
      <c r="D8" s="52" t="s">
        <v>1</v>
      </c>
      <c r="E8" s="47" t="s">
        <v>0</v>
      </c>
      <c r="F8" s="52" t="s">
        <v>29</v>
      </c>
      <c r="G8" s="52" t="s">
        <v>4</v>
      </c>
    </row>
    <row r="9" spans="1:7" ht="56.25" customHeight="1">
      <c r="A9" s="53"/>
      <c r="B9" s="53"/>
      <c r="C9" s="53"/>
      <c r="D9" s="53"/>
      <c r="E9" s="48"/>
      <c r="F9" s="53"/>
      <c r="G9" s="53"/>
    </row>
    <row r="10" spans="2:7" s="15" customFormat="1" ht="15.75">
      <c r="B10" s="16"/>
      <c r="C10" s="17"/>
      <c r="D10" s="18"/>
      <c r="E10" s="44" t="s">
        <v>2</v>
      </c>
      <c r="F10" s="21">
        <f>F11</f>
        <v>121472.823</v>
      </c>
      <c r="G10" s="21">
        <f>G11</f>
        <v>105469.6028</v>
      </c>
    </row>
    <row r="11" spans="2:7" s="8" customFormat="1" ht="15.75">
      <c r="B11" s="9"/>
      <c r="C11" s="17"/>
      <c r="D11" s="18"/>
      <c r="E11" s="44" t="s">
        <v>25</v>
      </c>
      <c r="F11" s="20">
        <f>F12+F138</f>
        <v>121472.823</v>
      </c>
      <c r="G11" s="20">
        <f>G12+G138</f>
        <v>105469.6028</v>
      </c>
    </row>
    <row r="12" spans="2:7" s="8" customFormat="1" ht="15.75">
      <c r="B12" s="9"/>
      <c r="C12" s="27" t="s">
        <v>7</v>
      </c>
      <c r="D12" s="28"/>
      <c r="E12" s="32" t="s">
        <v>8</v>
      </c>
      <c r="F12" s="21">
        <f>F13+F102+F129+F133+F131</f>
        <v>91772.823</v>
      </c>
      <c r="G12" s="21">
        <f>G13+G102+G129+G133+G131</f>
        <v>76069.6028</v>
      </c>
    </row>
    <row r="13" spans="2:7" s="8" customFormat="1" ht="15.75">
      <c r="B13" s="9"/>
      <c r="C13" s="30" t="s">
        <v>9</v>
      </c>
      <c r="D13" s="28"/>
      <c r="E13" s="32" t="s">
        <v>10</v>
      </c>
      <c r="F13" s="21">
        <f>F17+F53+F58+F14+F100</f>
        <v>68388.107</v>
      </c>
      <c r="G13" s="21">
        <f>G17+G53+G58+G14+G100</f>
        <v>56941.16185999999</v>
      </c>
    </row>
    <row r="14" spans="2:7" s="8" customFormat="1" ht="15.75">
      <c r="B14" s="9"/>
      <c r="C14" s="30">
        <v>150101</v>
      </c>
      <c r="D14" s="27"/>
      <c r="E14" s="32" t="s">
        <v>143</v>
      </c>
      <c r="F14" s="21">
        <f>F15+F16</f>
        <v>2800</v>
      </c>
      <c r="G14" s="21">
        <f>G15+G16</f>
        <v>2718.07249</v>
      </c>
    </row>
    <row r="15" spans="2:7" s="8" customFormat="1" ht="31.5">
      <c r="B15" s="9"/>
      <c r="C15" s="22">
        <v>150101</v>
      </c>
      <c r="D15" s="34">
        <v>3121</v>
      </c>
      <c r="E15" s="33" t="s">
        <v>35</v>
      </c>
      <c r="F15" s="20">
        <v>2000</v>
      </c>
      <c r="G15" s="20">
        <v>1964.0725</v>
      </c>
    </row>
    <row r="16" spans="2:7" s="8" customFormat="1" ht="63" customHeight="1">
      <c r="B16" s="9"/>
      <c r="C16" s="22">
        <v>150101</v>
      </c>
      <c r="D16" s="34">
        <v>3121</v>
      </c>
      <c r="E16" s="33" t="s">
        <v>36</v>
      </c>
      <c r="F16" s="20">
        <v>800</v>
      </c>
      <c r="G16" s="20">
        <v>753.99999</v>
      </c>
    </row>
    <row r="17" spans="2:7" s="8" customFormat="1" ht="33" customHeight="1">
      <c r="B17" s="9"/>
      <c r="C17" s="30" t="s">
        <v>9</v>
      </c>
      <c r="D17" s="27"/>
      <c r="E17" s="32" t="s">
        <v>144</v>
      </c>
      <c r="F17" s="21">
        <f>SUM(F18:F52)</f>
        <v>34669.788</v>
      </c>
      <c r="G17" s="21">
        <f>SUM(G18:G52)</f>
        <v>28388.049749999995</v>
      </c>
    </row>
    <row r="18" spans="2:7" s="8" customFormat="1" ht="27" customHeight="1">
      <c r="B18" s="9"/>
      <c r="C18" s="22" t="s">
        <v>9</v>
      </c>
      <c r="D18" s="23">
        <v>3122</v>
      </c>
      <c r="E18" s="42" t="s">
        <v>38</v>
      </c>
      <c r="F18" s="26">
        <v>420</v>
      </c>
      <c r="G18" s="26">
        <v>411.5125</v>
      </c>
    </row>
    <row r="19" spans="2:7" s="8" customFormat="1" ht="37.5" customHeight="1">
      <c r="B19" s="9"/>
      <c r="C19" s="22">
        <v>150101</v>
      </c>
      <c r="D19" s="23">
        <v>3122</v>
      </c>
      <c r="E19" s="42" t="s">
        <v>72</v>
      </c>
      <c r="F19" s="26">
        <v>144.883</v>
      </c>
      <c r="G19" s="26">
        <v>144.883</v>
      </c>
    </row>
    <row r="20" spans="2:7" s="8" customFormat="1" ht="38.25">
      <c r="B20" s="9"/>
      <c r="C20" s="22">
        <v>150101</v>
      </c>
      <c r="D20" s="23">
        <v>3122</v>
      </c>
      <c r="E20" s="42" t="s">
        <v>73</v>
      </c>
      <c r="F20" s="26">
        <v>300</v>
      </c>
      <c r="G20" s="26"/>
    </row>
    <row r="21" spans="2:7" s="8" customFormat="1" ht="38.25">
      <c r="B21" s="9"/>
      <c r="C21" s="22">
        <v>150101</v>
      </c>
      <c r="D21" s="23">
        <v>3122</v>
      </c>
      <c r="E21" s="35" t="s">
        <v>74</v>
      </c>
      <c r="F21" s="26">
        <f>562.421-260</f>
        <v>302.42100000000005</v>
      </c>
      <c r="G21" s="20">
        <f>562.421-260</f>
        <v>302.42100000000005</v>
      </c>
    </row>
    <row r="22" spans="2:7" s="8" customFormat="1" ht="51">
      <c r="B22" s="9"/>
      <c r="C22" s="22">
        <v>150101</v>
      </c>
      <c r="D22" s="23">
        <v>3122</v>
      </c>
      <c r="E22" s="35" t="s">
        <v>75</v>
      </c>
      <c r="F22" s="26">
        <f>6352.95-4514.748-1611.932</f>
        <v>226.2700000000002</v>
      </c>
      <c r="G22" s="20">
        <f>1646.93199-1646.93199+191.27+34.45252-18.13062</f>
        <v>207.5919</v>
      </c>
    </row>
    <row r="23" spans="2:7" s="8" customFormat="1" ht="76.5">
      <c r="B23" s="9"/>
      <c r="C23" s="22">
        <v>150101</v>
      </c>
      <c r="D23" s="23">
        <v>3122</v>
      </c>
      <c r="E23" s="24" t="s">
        <v>76</v>
      </c>
      <c r="F23" s="38">
        <v>6170</v>
      </c>
      <c r="G23" s="20">
        <f>5473.78228+124.39157</f>
        <v>5598.17385</v>
      </c>
    </row>
    <row r="24" spans="2:7" s="8" customFormat="1" ht="26.25" customHeight="1">
      <c r="B24" s="9"/>
      <c r="C24" s="22">
        <v>150101</v>
      </c>
      <c r="D24" s="23">
        <v>3122</v>
      </c>
      <c r="E24" s="24" t="s">
        <v>82</v>
      </c>
      <c r="F24" s="38">
        <v>1600</v>
      </c>
      <c r="G24" s="20">
        <v>1600</v>
      </c>
    </row>
    <row r="25" spans="2:7" s="8" customFormat="1" ht="38.25">
      <c r="B25" s="9"/>
      <c r="C25" s="22">
        <v>150101</v>
      </c>
      <c r="D25" s="23">
        <v>3122</v>
      </c>
      <c r="E25" s="24" t="s">
        <v>95</v>
      </c>
      <c r="F25" s="38">
        <f>3400+1350</f>
        <v>4750</v>
      </c>
      <c r="G25" s="20">
        <f>718.781+938.17354+433.75377+362.53483+665.05765+1606.55943-0.00003</f>
        <v>4724.86019</v>
      </c>
    </row>
    <row r="26" spans="2:7" s="8" customFormat="1" ht="51">
      <c r="B26" s="9"/>
      <c r="C26" s="22">
        <v>150101</v>
      </c>
      <c r="D26" s="23">
        <v>3122</v>
      </c>
      <c r="E26" s="24" t="s">
        <v>140</v>
      </c>
      <c r="F26" s="38">
        <f>163.295-137.051</f>
        <v>26.244</v>
      </c>
      <c r="G26" s="20">
        <f>7.02+19.224-1.33401</f>
        <v>24.90999</v>
      </c>
    </row>
    <row r="27" spans="2:7" s="8" customFormat="1" ht="76.5">
      <c r="B27" s="9"/>
      <c r="C27" s="22">
        <v>150101</v>
      </c>
      <c r="D27" s="23">
        <v>3122</v>
      </c>
      <c r="E27" s="43" t="s">
        <v>96</v>
      </c>
      <c r="F27" s="38">
        <v>874.8</v>
      </c>
      <c r="G27" s="20">
        <f>226.98+83.02+464.83696-56.04145</f>
        <v>718.7955099999999</v>
      </c>
    </row>
    <row r="28" spans="2:7" s="8" customFormat="1" ht="41.25" customHeight="1">
      <c r="B28" s="9"/>
      <c r="C28" s="22">
        <v>150101</v>
      </c>
      <c r="D28" s="23">
        <v>3122</v>
      </c>
      <c r="E28" s="43" t="s">
        <v>106</v>
      </c>
      <c r="F28" s="38">
        <v>1000</v>
      </c>
      <c r="G28" s="20">
        <f>759.48892</f>
        <v>759.48892</v>
      </c>
    </row>
    <row r="29" spans="2:7" s="8" customFormat="1" ht="51">
      <c r="B29" s="9"/>
      <c r="C29" s="22">
        <v>150101</v>
      </c>
      <c r="D29" s="23">
        <v>3122</v>
      </c>
      <c r="E29" s="43" t="s">
        <v>107</v>
      </c>
      <c r="F29" s="38">
        <f>3000+4018.047-2318</f>
        <v>4700.0470000000005</v>
      </c>
      <c r="G29" s="20">
        <f>79.96511+1334.82917+1959.40621+1202.43242+72.77168+2.108</f>
        <v>4651.51259</v>
      </c>
    </row>
    <row r="30" spans="2:7" s="8" customFormat="1" ht="24.75" customHeight="1">
      <c r="B30" s="9"/>
      <c r="C30" s="22">
        <v>150101</v>
      </c>
      <c r="D30" s="23">
        <v>3122</v>
      </c>
      <c r="E30" s="43" t="s">
        <v>108</v>
      </c>
      <c r="F30" s="38">
        <v>150</v>
      </c>
      <c r="G30" s="20">
        <v>0</v>
      </c>
    </row>
    <row r="31" spans="2:7" s="8" customFormat="1" ht="38.25">
      <c r="B31" s="9"/>
      <c r="C31" s="22">
        <v>150101</v>
      </c>
      <c r="D31" s="23">
        <v>3122</v>
      </c>
      <c r="E31" s="43" t="s">
        <v>109</v>
      </c>
      <c r="F31" s="38">
        <v>203</v>
      </c>
      <c r="G31" s="20">
        <f>59.517+138.873+2.251</f>
        <v>200.641</v>
      </c>
    </row>
    <row r="32" spans="2:7" s="8" customFormat="1" ht="51">
      <c r="B32" s="9"/>
      <c r="C32" s="22">
        <v>150101</v>
      </c>
      <c r="D32" s="23">
        <v>3122</v>
      </c>
      <c r="E32" s="43" t="s">
        <v>12</v>
      </c>
      <c r="F32" s="26">
        <v>8.5</v>
      </c>
      <c r="G32" s="20">
        <f>8.4069</f>
        <v>8.4069</v>
      </c>
    </row>
    <row r="33" spans="2:7" s="8" customFormat="1" ht="38.25">
      <c r="B33" s="9"/>
      <c r="C33" s="22">
        <v>150101</v>
      </c>
      <c r="D33" s="23">
        <v>3122</v>
      </c>
      <c r="E33" s="43" t="s">
        <v>110</v>
      </c>
      <c r="F33" s="38">
        <v>60</v>
      </c>
      <c r="G33" s="20">
        <v>15</v>
      </c>
    </row>
    <row r="34" spans="2:7" s="8" customFormat="1" ht="28.5" customHeight="1">
      <c r="B34" s="9"/>
      <c r="C34" s="22">
        <v>150101</v>
      </c>
      <c r="D34" s="23">
        <v>3122</v>
      </c>
      <c r="E34" s="43" t="s">
        <v>111</v>
      </c>
      <c r="F34" s="38">
        <f>1707.357+1000</f>
        <v>2707.357</v>
      </c>
      <c r="G34" s="20">
        <f>817.24144+249.60695+587.99154+111.95416+864.66769</f>
        <v>2631.46178</v>
      </c>
    </row>
    <row r="35" spans="2:7" s="8" customFormat="1" ht="38.25">
      <c r="B35" s="9"/>
      <c r="C35" s="22">
        <v>150101</v>
      </c>
      <c r="D35" s="23">
        <v>3122</v>
      </c>
      <c r="E35" s="43" t="s">
        <v>112</v>
      </c>
      <c r="F35" s="38">
        <v>500</v>
      </c>
      <c r="G35" s="20">
        <v>500</v>
      </c>
    </row>
    <row r="36" spans="2:7" s="8" customFormat="1" ht="38.25">
      <c r="B36" s="9"/>
      <c r="C36" s="22">
        <v>150101</v>
      </c>
      <c r="D36" s="23">
        <v>3122</v>
      </c>
      <c r="E36" s="43" t="s">
        <v>113</v>
      </c>
      <c r="F36" s="38">
        <f>1220.906+1200</f>
        <v>2420.906</v>
      </c>
      <c r="G36" s="20">
        <f>343.0136+1823.305</f>
        <v>2166.3186</v>
      </c>
    </row>
    <row r="37" spans="2:7" s="8" customFormat="1" ht="38.25">
      <c r="B37" s="9"/>
      <c r="C37" s="22">
        <v>150101</v>
      </c>
      <c r="D37" s="23">
        <v>3122</v>
      </c>
      <c r="E37" s="24" t="s">
        <v>114</v>
      </c>
      <c r="F37" s="38">
        <v>450</v>
      </c>
      <c r="G37" s="20">
        <f>117.042+1.584+265.1082</f>
        <v>383.7342</v>
      </c>
    </row>
    <row r="38" spans="2:7" s="8" customFormat="1" ht="38.25">
      <c r="B38" s="9"/>
      <c r="C38" s="22">
        <v>150101</v>
      </c>
      <c r="D38" s="23">
        <v>3122</v>
      </c>
      <c r="E38" s="24" t="s">
        <v>11</v>
      </c>
      <c r="F38" s="38">
        <v>2531.74</v>
      </c>
      <c r="G38" s="20">
        <f>739.95602+246.89923</f>
        <v>986.85525</v>
      </c>
    </row>
    <row r="39" spans="2:7" s="8" customFormat="1" ht="38.25">
      <c r="B39" s="9"/>
      <c r="C39" s="22">
        <v>150101</v>
      </c>
      <c r="D39" s="23">
        <v>3122</v>
      </c>
      <c r="E39" s="24" t="s">
        <v>115</v>
      </c>
      <c r="F39" s="38">
        <v>140</v>
      </c>
      <c r="G39" s="20">
        <f>132.03546</f>
        <v>132.03546</v>
      </c>
    </row>
    <row r="40" spans="2:7" s="8" customFormat="1" ht="38.25">
      <c r="B40" s="9"/>
      <c r="C40" s="22">
        <v>150101</v>
      </c>
      <c r="D40" s="23">
        <v>3122</v>
      </c>
      <c r="E40" s="24" t="s">
        <v>116</v>
      </c>
      <c r="F40" s="38">
        <v>100</v>
      </c>
      <c r="G40" s="20">
        <f>11.75378+7.68142-7.68142</f>
        <v>11.753780000000003</v>
      </c>
    </row>
    <row r="41" spans="2:7" s="8" customFormat="1" ht="26.25" customHeight="1">
      <c r="B41" s="9"/>
      <c r="C41" s="22">
        <v>150101</v>
      </c>
      <c r="D41" s="23">
        <v>3122</v>
      </c>
      <c r="E41" s="24" t="s">
        <v>117</v>
      </c>
      <c r="F41" s="38">
        <v>550</v>
      </c>
      <c r="G41" s="20">
        <f>16.50416+6.49502-6.49502</f>
        <v>16.50416</v>
      </c>
    </row>
    <row r="42" spans="2:7" s="8" customFormat="1" ht="38.25">
      <c r="B42" s="9"/>
      <c r="C42" s="22">
        <v>150101</v>
      </c>
      <c r="D42" s="23">
        <v>3122</v>
      </c>
      <c r="E42" s="35" t="s">
        <v>118</v>
      </c>
      <c r="F42" s="26">
        <v>550</v>
      </c>
      <c r="G42" s="20">
        <f>16.50416+24.17775-24.17775</f>
        <v>16.504160000000002</v>
      </c>
    </row>
    <row r="43" spans="2:7" s="8" customFormat="1" ht="38.25">
      <c r="B43" s="9"/>
      <c r="C43" s="22">
        <v>150101</v>
      </c>
      <c r="D43" s="23">
        <v>3122</v>
      </c>
      <c r="E43" s="39" t="s">
        <v>119</v>
      </c>
      <c r="F43" s="20">
        <v>550</v>
      </c>
      <c r="G43" s="20">
        <f>11.75378+12.44775-12.44775</f>
        <v>11.753779999999999</v>
      </c>
    </row>
    <row r="44" spans="2:7" s="8" customFormat="1" ht="51">
      <c r="B44" s="9"/>
      <c r="C44" s="22">
        <v>150101</v>
      </c>
      <c r="D44" s="23">
        <v>3122</v>
      </c>
      <c r="E44" s="24" t="s">
        <v>131</v>
      </c>
      <c r="F44" s="26">
        <v>870</v>
      </c>
      <c r="G44" s="20">
        <f>12.43272+29.00968+1.782+2.124+807.6088</f>
        <v>852.9572</v>
      </c>
    </row>
    <row r="45" spans="2:7" s="8" customFormat="1" ht="38.25" customHeight="1">
      <c r="B45" s="9"/>
      <c r="C45" s="22">
        <v>150101</v>
      </c>
      <c r="D45" s="23">
        <v>3122</v>
      </c>
      <c r="E45" s="24" t="s">
        <v>132</v>
      </c>
      <c r="F45" s="20">
        <v>400</v>
      </c>
      <c r="G45" s="20"/>
    </row>
    <row r="46" spans="2:7" s="8" customFormat="1" ht="51">
      <c r="B46" s="9"/>
      <c r="C46" s="22">
        <v>150101</v>
      </c>
      <c r="D46" s="23">
        <v>3122</v>
      </c>
      <c r="E46" s="24" t="s">
        <v>135</v>
      </c>
      <c r="F46" s="20">
        <v>504.62</v>
      </c>
      <c r="G46" s="20">
        <f>40.15681+439.2402</f>
        <v>479.39701</v>
      </c>
    </row>
    <row r="47" spans="2:7" s="8" customFormat="1" ht="38.25">
      <c r="B47" s="9"/>
      <c r="C47" s="22">
        <v>150101</v>
      </c>
      <c r="D47" s="23">
        <v>3122</v>
      </c>
      <c r="E47" s="24" t="s">
        <v>136</v>
      </c>
      <c r="F47" s="20">
        <f>34+15</f>
        <v>49</v>
      </c>
      <c r="G47" s="20">
        <v>15</v>
      </c>
    </row>
    <row r="48" spans="2:7" s="8" customFormat="1" ht="63" customHeight="1">
      <c r="B48" s="9"/>
      <c r="C48" s="22">
        <v>150101</v>
      </c>
      <c r="D48" s="23">
        <v>3122</v>
      </c>
      <c r="E48" s="24" t="s">
        <v>13</v>
      </c>
      <c r="F48" s="20">
        <v>639</v>
      </c>
      <c r="G48" s="20">
        <f>255.97838+20.6982</f>
        <v>276.67658</v>
      </c>
    </row>
    <row r="49" spans="2:7" s="8" customFormat="1" ht="25.5">
      <c r="B49" s="9"/>
      <c r="C49" s="22">
        <v>150101</v>
      </c>
      <c r="D49" s="23">
        <v>3122</v>
      </c>
      <c r="E49" s="24" t="s">
        <v>137</v>
      </c>
      <c r="F49" s="20">
        <v>150</v>
      </c>
      <c r="G49" s="20">
        <f>40.51078+19.04162-7.69323</f>
        <v>51.85917</v>
      </c>
    </row>
    <row r="50" spans="2:7" s="8" customFormat="1" ht="38.25">
      <c r="B50" s="9"/>
      <c r="C50" s="22">
        <v>150101</v>
      </c>
      <c r="D50" s="23">
        <v>3122</v>
      </c>
      <c r="E50" s="24" t="s">
        <v>138</v>
      </c>
      <c r="F50" s="20">
        <v>150</v>
      </c>
      <c r="G50" s="20">
        <f>50.05307+32.22675+1.26315</f>
        <v>83.54297</v>
      </c>
    </row>
    <row r="51" spans="2:7" s="8" customFormat="1" ht="38.25">
      <c r="B51" s="9"/>
      <c r="C51" s="22">
        <v>150101</v>
      </c>
      <c r="D51" s="23">
        <v>3122</v>
      </c>
      <c r="E51" s="24" t="s">
        <v>139</v>
      </c>
      <c r="F51" s="20">
        <v>150</v>
      </c>
      <c r="G51" s="20">
        <f>51.31622+34.31862-1.26315</f>
        <v>84.37169</v>
      </c>
    </row>
    <row r="52" spans="2:7" s="8" customFormat="1" ht="38.25">
      <c r="B52" s="9"/>
      <c r="C52" s="22">
        <v>150101</v>
      </c>
      <c r="D52" s="23">
        <v>3122</v>
      </c>
      <c r="E52" s="24" t="s">
        <v>14</v>
      </c>
      <c r="F52" s="20">
        <v>321</v>
      </c>
      <c r="G52" s="20">
        <f>8.63561+305.0832+0.0588+6.769-1.42</f>
        <v>319.12660999999997</v>
      </c>
    </row>
    <row r="53" spans="2:7" s="8" customFormat="1" ht="15.75">
      <c r="B53" s="9"/>
      <c r="C53" s="30" t="s">
        <v>9</v>
      </c>
      <c r="D53" s="31"/>
      <c r="E53" s="32" t="s">
        <v>145</v>
      </c>
      <c r="F53" s="21">
        <f>SUM(F54:F57)</f>
        <v>6610.089</v>
      </c>
      <c r="G53" s="21">
        <f>SUM(G54:G57)</f>
        <v>4874.60941</v>
      </c>
    </row>
    <row r="54" spans="2:7" s="8" customFormat="1" ht="25.5">
      <c r="B54" s="9"/>
      <c r="C54" s="22">
        <v>150101</v>
      </c>
      <c r="D54" s="23">
        <v>3141</v>
      </c>
      <c r="E54" s="35" t="s">
        <v>120</v>
      </c>
      <c r="F54" s="26">
        <v>200</v>
      </c>
      <c r="G54" s="20"/>
    </row>
    <row r="55" spans="2:7" s="8" customFormat="1" ht="25.5">
      <c r="B55" s="9"/>
      <c r="C55" s="22">
        <v>150101</v>
      </c>
      <c r="D55" s="23">
        <v>3141</v>
      </c>
      <c r="E55" s="39" t="s">
        <v>121</v>
      </c>
      <c r="F55" s="20">
        <v>3460.089</v>
      </c>
      <c r="G55" s="20">
        <f>580.46673+491.56779+331.6539+138.873+387.07134+388.88367+53.78632-0.0001</f>
        <v>2372.30265</v>
      </c>
    </row>
    <row r="56" spans="2:7" s="8" customFormat="1" ht="38.25">
      <c r="B56" s="9"/>
      <c r="C56" s="22">
        <v>150101</v>
      </c>
      <c r="D56" s="23">
        <v>3141</v>
      </c>
      <c r="E56" s="39" t="s">
        <v>122</v>
      </c>
      <c r="F56" s="20">
        <v>1460</v>
      </c>
      <c r="G56" s="20">
        <f>427.99454+163.22536+790.6416-15.36</f>
        <v>1366.5015</v>
      </c>
    </row>
    <row r="57" spans="2:7" s="8" customFormat="1" ht="38.25">
      <c r="B57" s="9"/>
      <c r="C57" s="22">
        <v>150101</v>
      </c>
      <c r="D57" s="23">
        <v>3141</v>
      </c>
      <c r="E57" s="39" t="s">
        <v>141</v>
      </c>
      <c r="F57" s="20">
        <v>1490</v>
      </c>
      <c r="G57" s="20">
        <f>359.3535+104.08696+685.6818-13.317</f>
        <v>1135.80526</v>
      </c>
    </row>
    <row r="58" spans="2:7" s="8" customFormat="1" ht="16.5" customHeight="1">
      <c r="B58" s="9"/>
      <c r="C58" s="30" t="s">
        <v>9</v>
      </c>
      <c r="D58" s="31"/>
      <c r="E58" s="32" t="s">
        <v>146</v>
      </c>
      <c r="F58" s="21">
        <f>SUM(F59:F99)</f>
        <v>23108.342999999997</v>
      </c>
      <c r="G58" s="21">
        <f>SUM(G59:G99)</f>
        <v>20089.82079</v>
      </c>
    </row>
    <row r="59" spans="2:7" s="8" customFormat="1" ht="40.5" customHeight="1">
      <c r="B59" s="9"/>
      <c r="C59" s="22">
        <v>150101</v>
      </c>
      <c r="D59" s="23">
        <v>3142</v>
      </c>
      <c r="E59" s="24" t="s">
        <v>39</v>
      </c>
      <c r="F59" s="26">
        <v>50.442</v>
      </c>
      <c r="G59" s="20">
        <v>50.42788</v>
      </c>
    </row>
    <row r="60" spans="2:7" s="8" customFormat="1" ht="51">
      <c r="B60" s="9"/>
      <c r="C60" s="22">
        <v>150101</v>
      </c>
      <c r="D60" s="23">
        <v>3142</v>
      </c>
      <c r="E60" s="24" t="s">
        <v>142</v>
      </c>
      <c r="F60" s="26">
        <v>49.944</v>
      </c>
      <c r="G60" s="20">
        <v>49.9371</v>
      </c>
    </row>
    <row r="61" spans="2:7" s="8" customFormat="1" ht="51">
      <c r="B61" s="9"/>
      <c r="C61" s="22">
        <v>150101</v>
      </c>
      <c r="D61" s="23">
        <v>3142</v>
      </c>
      <c r="E61" s="24" t="s">
        <v>40</v>
      </c>
      <c r="F61" s="26">
        <v>50.006</v>
      </c>
      <c r="G61" s="20">
        <v>49.99968</v>
      </c>
    </row>
    <row r="62" spans="2:7" s="8" customFormat="1" ht="51">
      <c r="B62" s="9"/>
      <c r="C62" s="22" t="s">
        <v>9</v>
      </c>
      <c r="D62" s="23">
        <v>3142</v>
      </c>
      <c r="E62" s="36" t="s">
        <v>41</v>
      </c>
      <c r="F62" s="20">
        <v>49.924</v>
      </c>
      <c r="G62" s="20">
        <v>49.91982</v>
      </c>
    </row>
    <row r="63" spans="2:7" s="8" customFormat="1" ht="51">
      <c r="B63" s="9"/>
      <c r="C63" s="22" t="s">
        <v>9</v>
      </c>
      <c r="D63" s="23">
        <v>3142</v>
      </c>
      <c r="E63" s="36" t="s">
        <v>42</v>
      </c>
      <c r="F63" s="20">
        <v>51.383</v>
      </c>
      <c r="G63" s="20">
        <v>51.37584</v>
      </c>
    </row>
    <row r="64" spans="2:7" s="8" customFormat="1" ht="51">
      <c r="B64" s="9"/>
      <c r="C64" s="22">
        <v>150101</v>
      </c>
      <c r="D64" s="23">
        <v>3142</v>
      </c>
      <c r="E64" s="36" t="s">
        <v>43</v>
      </c>
      <c r="F64" s="20">
        <v>49.94</v>
      </c>
      <c r="G64" s="20">
        <v>49.9238</v>
      </c>
    </row>
    <row r="65" spans="2:7" s="8" customFormat="1" ht="39" customHeight="1">
      <c r="B65" s="9"/>
      <c r="C65" s="22">
        <v>150101</v>
      </c>
      <c r="D65" s="23">
        <v>3142</v>
      </c>
      <c r="E65" s="36" t="s">
        <v>44</v>
      </c>
      <c r="F65" s="20">
        <v>50.235</v>
      </c>
      <c r="G65" s="20">
        <v>50.2199</v>
      </c>
    </row>
    <row r="66" spans="2:7" s="8" customFormat="1" ht="38.25">
      <c r="B66" s="9"/>
      <c r="C66" s="22">
        <v>150101</v>
      </c>
      <c r="D66" s="23">
        <v>3142</v>
      </c>
      <c r="E66" s="37" t="s">
        <v>45</v>
      </c>
      <c r="F66" s="20">
        <f>230+320</f>
        <v>550</v>
      </c>
      <c r="G66" s="20">
        <f>23.90722+64.45741+361.61961</f>
        <v>449.98424</v>
      </c>
    </row>
    <row r="67" spans="2:7" s="8" customFormat="1" ht="38.25">
      <c r="B67" s="9"/>
      <c r="C67" s="22">
        <v>150101</v>
      </c>
      <c r="D67" s="23">
        <v>3142</v>
      </c>
      <c r="E67" s="24" t="s">
        <v>46</v>
      </c>
      <c r="F67" s="20">
        <f>361.396+230.308</f>
        <v>591.704</v>
      </c>
      <c r="G67" s="20">
        <f>65.3768+85.9806+69.13576+330.38846+1.56</f>
        <v>552.44162</v>
      </c>
    </row>
    <row r="68" spans="2:7" s="8" customFormat="1" ht="38.25">
      <c r="B68" s="9"/>
      <c r="C68" s="22">
        <v>150101</v>
      </c>
      <c r="D68" s="23">
        <v>3142</v>
      </c>
      <c r="E68" s="24" t="s">
        <v>47</v>
      </c>
      <c r="F68" s="20">
        <f>868.653+671.659</f>
        <v>1540.312</v>
      </c>
      <c r="G68" s="20">
        <f>248.172+11.3742+709.29752+4.65+358.70044</f>
        <v>1332.19416</v>
      </c>
    </row>
    <row r="69" spans="2:7" s="8" customFormat="1" ht="38.25">
      <c r="B69" s="9"/>
      <c r="C69" s="22">
        <v>150101</v>
      </c>
      <c r="D69" s="23">
        <v>3142</v>
      </c>
      <c r="E69" s="24" t="s">
        <v>48</v>
      </c>
      <c r="F69" s="20">
        <v>300</v>
      </c>
      <c r="G69" s="20">
        <v>300</v>
      </c>
    </row>
    <row r="70" spans="2:7" s="8" customFormat="1" ht="38.25">
      <c r="B70" s="9"/>
      <c r="C70" s="22">
        <v>150101</v>
      </c>
      <c r="D70" s="23">
        <v>3142</v>
      </c>
      <c r="E70" s="24" t="s">
        <v>77</v>
      </c>
      <c r="F70" s="20">
        <v>300</v>
      </c>
      <c r="G70" s="20">
        <f>75+224.8057</f>
        <v>299.8057</v>
      </c>
    </row>
    <row r="71" spans="2:7" s="8" customFormat="1" ht="38.25">
      <c r="B71" s="9"/>
      <c r="C71" s="22">
        <v>150101</v>
      </c>
      <c r="D71" s="23">
        <v>3142</v>
      </c>
      <c r="E71" s="24" t="s">
        <v>78</v>
      </c>
      <c r="F71" s="20">
        <v>1622.327</v>
      </c>
      <c r="G71" s="20">
        <f>73.52316+445.51242+1.958+766.33131</f>
        <v>1287.3248899999999</v>
      </c>
    </row>
    <row r="72" spans="2:7" s="8" customFormat="1" ht="38.25">
      <c r="B72" s="9"/>
      <c r="C72" s="22">
        <v>150101</v>
      </c>
      <c r="D72" s="23">
        <v>3142</v>
      </c>
      <c r="E72" s="24" t="s">
        <v>79</v>
      </c>
      <c r="F72" s="38">
        <f>119.169-66.024</f>
        <v>53.144999999999996</v>
      </c>
      <c r="G72" s="20">
        <f>3.46814</f>
        <v>3.46814</v>
      </c>
    </row>
    <row r="73" spans="2:7" s="8" customFormat="1" ht="25.5">
      <c r="B73" s="9"/>
      <c r="C73" s="22">
        <v>150101</v>
      </c>
      <c r="D73" s="23">
        <v>3142</v>
      </c>
      <c r="E73" s="24" t="s">
        <v>80</v>
      </c>
      <c r="F73" s="38">
        <f>176-25</f>
        <v>151</v>
      </c>
      <c r="G73" s="20">
        <f>44.36947+59.15932+2.16389+45.27902</f>
        <v>150.9717</v>
      </c>
    </row>
    <row r="74" spans="2:7" s="8" customFormat="1" ht="51">
      <c r="B74" s="9"/>
      <c r="C74" s="22">
        <v>150101</v>
      </c>
      <c r="D74" s="23">
        <v>3142</v>
      </c>
      <c r="E74" s="24" t="s">
        <v>83</v>
      </c>
      <c r="F74" s="38">
        <f>1315.487+27.434+132.174</f>
        <v>1475.095</v>
      </c>
      <c r="G74" s="20">
        <f>290.2494+355.14992+552.76+144.76168+132.174-0.01367</f>
        <v>1475.08133</v>
      </c>
    </row>
    <row r="75" spans="2:7" s="8" customFormat="1" ht="51">
      <c r="B75" s="9"/>
      <c r="C75" s="22">
        <v>150101</v>
      </c>
      <c r="D75" s="23">
        <v>3142</v>
      </c>
      <c r="E75" s="24" t="s">
        <v>84</v>
      </c>
      <c r="F75" s="38">
        <f>1724.072+999.222-999.222</f>
        <v>1724.072</v>
      </c>
      <c r="G75" s="20">
        <f>500+1.45+1673.55-513.201+62.273-15.58678</f>
        <v>1708.4852199999998</v>
      </c>
    </row>
    <row r="76" spans="2:7" s="8" customFormat="1" ht="51">
      <c r="B76" s="9"/>
      <c r="C76" s="22">
        <v>150101</v>
      </c>
      <c r="D76" s="23">
        <v>3142</v>
      </c>
      <c r="E76" s="24" t="s">
        <v>85</v>
      </c>
      <c r="F76" s="38">
        <f>887.727+380.549-39.099</f>
        <v>1229.177</v>
      </c>
      <c r="G76" s="20">
        <f>10.08331+3.55066+19.20173+916.16005+22.10692+258.07433-0.0036</f>
        <v>1229.1734</v>
      </c>
    </row>
    <row r="77" spans="2:7" s="8" customFormat="1" ht="51">
      <c r="B77" s="9"/>
      <c r="C77" s="22">
        <v>150101</v>
      </c>
      <c r="D77" s="23">
        <v>3142</v>
      </c>
      <c r="E77" s="24" t="s">
        <v>86</v>
      </c>
      <c r="F77" s="38">
        <f>2167.214-278.226</f>
        <v>1888.9879999999998</v>
      </c>
      <c r="G77" s="20">
        <f>1600+288.988-0.00019</f>
        <v>1888.98781</v>
      </c>
    </row>
    <row r="78" spans="2:7" s="8" customFormat="1" ht="38.25">
      <c r="B78" s="9"/>
      <c r="C78" s="22">
        <v>150101</v>
      </c>
      <c r="D78" s="23">
        <v>3142</v>
      </c>
      <c r="E78" s="24" t="s">
        <v>87</v>
      </c>
      <c r="F78" s="38">
        <v>500</v>
      </c>
      <c r="G78" s="20">
        <f>21.061+63.184+6.32135+409.43365-48.89849</f>
        <v>451.10151</v>
      </c>
    </row>
    <row r="79" spans="2:7" s="8" customFormat="1" ht="38.25">
      <c r="B79" s="9"/>
      <c r="C79" s="22">
        <v>150101</v>
      </c>
      <c r="D79" s="23">
        <v>3142</v>
      </c>
      <c r="E79" s="39" t="s">
        <v>88</v>
      </c>
      <c r="F79" s="20">
        <v>100</v>
      </c>
      <c r="G79" s="20">
        <f>100-3.1</f>
        <v>96.9</v>
      </c>
    </row>
    <row r="80" spans="2:7" s="8" customFormat="1" ht="25.5">
      <c r="B80" s="9"/>
      <c r="C80" s="22">
        <v>150101</v>
      </c>
      <c r="D80" s="23">
        <v>3142</v>
      </c>
      <c r="E80" s="24" t="s">
        <v>89</v>
      </c>
      <c r="F80" s="20">
        <v>100</v>
      </c>
      <c r="G80" s="20">
        <f>28.2+71.8-4.02922</f>
        <v>95.97078</v>
      </c>
    </row>
    <row r="81" spans="2:7" s="8" customFormat="1" ht="51" customHeight="1">
      <c r="B81" s="9"/>
      <c r="C81" s="22">
        <v>150101</v>
      </c>
      <c r="D81" s="23">
        <v>3142</v>
      </c>
      <c r="E81" s="24" t="s">
        <v>90</v>
      </c>
      <c r="F81" s="20">
        <f>450+1069.352</f>
        <v>1519.352</v>
      </c>
      <c r="G81" s="20">
        <f>11+200+239+1069.352</f>
        <v>1519.352</v>
      </c>
    </row>
    <row r="82" spans="2:7" s="8" customFormat="1" ht="51">
      <c r="B82" s="9"/>
      <c r="C82" s="22">
        <v>150101</v>
      </c>
      <c r="D82" s="23">
        <v>3142</v>
      </c>
      <c r="E82" s="24" t="s">
        <v>91</v>
      </c>
      <c r="F82" s="20">
        <v>400</v>
      </c>
      <c r="G82" s="20">
        <v>400</v>
      </c>
    </row>
    <row r="83" spans="2:7" s="8" customFormat="1" ht="38.25">
      <c r="B83" s="9"/>
      <c r="C83" s="22">
        <v>150101</v>
      </c>
      <c r="D83" s="23">
        <v>3142</v>
      </c>
      <c r="E83" s="24" t="s">
        <v>92</v>
      </c>
      <c r="F83" s="20">
        <v>210</v>
      </c>
      <c r="G83" s="20">
        <v>210</v>
      </c>
    </row>
    <row r="84" spans="2:7" s="8" customFormat="1" ht="38.25">
      <c r="B84" s="9"/>
      <c r="C84" s="22">
        <v>150101</v>
      </c>
      <c r="D84" s="23">
        <v>3142</v>
      </c>
      <c r="E84" s="24" t="s">
        <v>93</v>
      </c>
      <c r="F84" s="20">
        <v>357.264</v>
      </c>
      <c r="G84" s="20">
        <f>102.1145+171.55448+72.94493+10.65</f>
        <v>357.26391</v>
      </c>
    </row>
    <row r="85" spans="2:7" s="8" customFormat="1" ht="38.25">
      <c r="B85" s="9"/>
      <c r="C85" s="22">
        <v>150101</v>
      </c>
      <c r="D85" s="23">
        <v>3142</v>
      </c>
      <c r="E85" s="24" t="s">
        <v>94</v>
      </c>
      <c r="F85" s="20">
        <v>75</v>
      </c>
      <c r="G85" s="20">
        <f>22.4445+52.3705</f>
        <v>74.815</v>
      </c>
    </row>
    <row r="86" spans="2:7" s="8" customFormat="1" ht="38.25">
      <c r="B86" s="9"/>
      <c r="C86" s="22">
        <v>150101</v>
      </c>
      <c r="D86" s="23">
        <v>3142</v>
      </c>
      <c r="E86" s="24" t="s">
        <v>97</v>
      </c>
      <c r="F86" s="20">
        <v>220</v>
      </c>
      <c r="G86" s="20">
        <f>143.03762+76.7638</f>
        <v>219.80142</v>
      </c>
    </row>
    <row r="87" spans="2:7" s="8" customFormat="1" ht="38.25">
      <c r="B87" s="9"/>
      <c r="C87" s="22">
        <v>150101</v>
      </c>
      <c r="D87" s="23">
        <v>3142</v>
      </c>
      <c r="E87" s="24" t="s">
        <v>98</v>
      </c>
      <c r="F87" s="20">
        <v>25</v>
      </c>
      <c r="G87" s="20">
        <f>24.91192</f>
        <v>24.91192</v>
      </c>
    </row>
    <row r="88" spans="2:7" s="8" customFormat="1" ht="63.75">
      <c r="B88" s="9"/>
      <c r="C88" s="22">
        <v>150101</v>
      </c>
      <c r="D88" s="23">
        <v>3142</v>
      </c>
      <c r="E88" s="24" t="s">
        <v>99</v>
      </c>
      <c r="F88" s="20">
        <v>340</v>
      </c>
      <c r="G88" s="20">
        <f>14.444+1.2312+132.45887+156.48666</f>
        <v>304.62073</v>
      </c>
    </row>
    <row r="89" spans="2:7" s="8" customFormat="1" ht="51">
      <c r="B89" s="9"/>
      <c r="C89" s="22">
        <v>150101</v>
      </c>
      <c r="D89" s="23">
        <v>3142</v>
      </c>
      <c r="E89" s="24" t="s">
        <v>100</v>
      </c>
      <c r="F89" s="20">
        <v>300</v>
      </c>
      <c r="G89" s="20">
        <f>63.11234+14.19822+156.50538</f>
        <v>233.81594</v>
      </c>
    </row>
    <row r="90" spans="2:7" s="8" customFormat="1" ht="51">
      <c r="B90" s="9"/>
      <c r="C90" s="22">
        <v>150101</v>
      </c>
      <c r="D90" s="23">
        <v>3142</v>
      </c>
      <c r="E90" s="24" t="s">
        <v>101</v>
      </c>
      <c r="F90" s="20">
        <v>3892</v>
      </c>
      <c r="G90" s="20">
        <f>54.9972+128.3268+7.07137+196.89316+609.93326+1050.79542+441.22572+1402.25707+0.5</f>
        <v>3892</v>
      </c>
    </row>
    <row r="91" spans="2:7" s="8" customFormat="1" ht="51">
      <c r="B91" s="9"/>
      <c r="C91" s="22">
        <v>150101</v>
      </c>
      <c r="D91" s="23">
        <v>3142</v>
      </c>
      <c r="E91" s="24" t="s">
        <v>102</v>
      </c>
      <c r="F91" s="20">
        <v>42.033</v>
      </c>
      <c r="G91" s="20">
        <f>11.55048+14.80161+8.13001</f>
        <v>34.4821</v>
      </c>
    </row>
    <row r="92" spans="2:7" s="8" customFormat="1" ht="76.5">
      <c r="B92" s="9"/>
      <c r="C92" s="22">
        <v>150101</v>
      </c>
      <c r="D92" s="23">
        <v>3142</v>
      </c>
      <c r="E92" s="24" t="s">
        <v>103</v>
      </c>
      <c r="F92" s="20">
        <v>1300</v>
      </c>
      <c r="G92" s="20">
        <f>373.46566+478.58545+262.87058</f>
        <v>1114.9216900000001</v>
      </c>
    </row>
    <row r="93" spans="2:7" s="8" customFormat="1" ht="38.25">
      <c r="B93" s="9"/>
      <c r="C93" s="22">
        <v>150101</v>
      </c>
      <c r="D93" s="23">
        <v>3142</v>
      </c>
      <c r="E93" s="24" t="s">
        <v>123</v>
      </c>
      <c r="F93" s="20">
        <v>200</v>
      </c>
      <c r="G93" s="20"/>
    </row>
    <row r="94" spans="2:7" s="8" customFormat="1" ht="51">
      <c r="B94" s="9"/>
      <c r="C94" s="22">
        <v>150101</v>
      </c>
      <c r="D94" s="23">
        <v>3142</v>
      </c>
      <c r="E94" s="24" t="s">
        <v>124</v>
      </c>
      <c r="F94" s="20">
        <v>100</v>
      </c>
      <c r="G94" s="20"/>
    </row>
    <row r="95" spans="2:7" s="8" customFormat="1" ht="25.5">
      <c r="B95" s="9"/>
      <c r="C95" s="22">
        <v>150101</v>
      </c>
      <c r="D95" s="23">
        <v>3142</v>
      </c>
      <c r="E95" s="24" t="s">
        <v>125</v>
      </c>
      <c r="F95" s="20">
        <v>200</v>
      </c>
      <c r="G95" s="20"/>
    </row>
    <row r="96" spans="2:7" s="8" customFormat="1" ht="38.25">
      <c r="B96" s="9"/>
      <c r="C96" s="22">
        <v>150101</v>
      </c>
      <c r="D96" s="23">
        <v>3142</v>
      </c>
      <c r="E96" s="24" t="s">
        <v>126</v>
      </c>
      <c r="F96" s="20">
        <v>200</v>
      </c>
      <c r="G96" s="20"/>
    </row>
    <row r="97" spans="2:7" s="8" customFormat="1" ht="38.25">
      <c r="B97" s="9"/>
      <c r="C97" s="22">
        <v>150101</v>
      </c>
      <c r="D97" s="23">
        <v>3142</v>
      </c>
      <c r="E97" s="24" t="s">
        <v>127</v>
      </c>
      <c r="F97" s="20">
        <v>450</v>
      </c>
      <c r="G97" s="20"/>
    </row>
    <row r="98" spans="2:7" s="8" customFormat="1" ht="38.25">
      <c r="B98" s="9"/>
      <c r="C98" s="22">
        <v>150101</v>
      </c>
      <c r="D98" s="23">
        <v>3142</v>
      </c>
      <c r="E98" s="24" t="s">
        <v>133</v>
      </c>
      <c r="F98" s="20">
        <v>500</v>
      </c>
      <c r="G98" s="20">
        <f>27.842+2.29956</f>
        <v>30.14156</v>
      </c>
    </row>
    <row r="99" spans="2:7" s="8" customFormat="1" ht="38.25">
      <c r="B99" s="9"/>
      <c r="C99" s="22">
        <v>150101</v>
      </c>
      <c r="D99" s="23">
        <v>3142</v>
      </c>
      <c r="E99" s="24" t="s">
        <v>134</v>
      </c>
      <c r="F99" s="20">
        <v>300</v>
      </c>
      <c r="G99" s="20"/>
    </row>
    <row r="100" spans="2:7" s="8" customFormat="1" ht="31.5">
      <c r="B100" s="9"/>
      <c r="C100" s="30">
        <v>150101</v>
      </c>
      <c r="D100" s="31"/>
      <c r="E100" s="32" t="s">
        <v>147</v>
      </c>
      <c r="F100" s="21">
        <f>SUM(F101:F101)</f>
        <v>1199.887</v>
      </c>
      <c r="G100" s="21">
        <f>SUM(G101:G101)</f>
        <v>870.6094199999999</v>
      </c>
    </row>
    <row r="101" spans="2:7" s="8" customFormat="1" ht="51">
      <c r="B101" s="9"/>
      <c r="C101" s="22">
        <v>150101</v>
      </c>
      <c r="D101" s="23">
        <v>3143</v>
      </c>
      <c r="E101" s="24" t="s">
        <v>81</v>
      </c>
      <c r="F101" s="38">
        <f>890.872+309.015</f>
        <v>1199.887</v>
      </c>
      <c r="G101" s="20">
        <f>246.31776+308.5225+269.73888+16.22464+0.81227+2.242+26.75137</f>
        <v>870.6094199999999</v>
      </c>
    </row>
    <row r="102" spans="2:7" s="8" customFormat="1" ht="47.25">
      <c r="B102" s="9"/>
      <c r="C102" s="30">
        <v>150110</v>
      </c>
      <c r="D102" s="31"/>
      <c r="E102" s="32" t="s">
        <v>15</v>
      </c>
      <c r="F102" s="21">
        <f>F103+F110+F126</f>
        <v>20696.916</v>
      </c>
      <c r="G102" s="21">
        <f>G103+G110+G126</f>
        <v>17041.01376</v>
      </c>
    </row>
    <row r="103" spans="2:7" s="8" customFormat="1" ht="31.5">
      <c r="B103" s="9"/>
      <c r="C103" s="30">
        <v>150110</v>
      </c>
      <c r="D103" s="31"/>
      <c r="E103" s="32" t="s">
        <v>148</v>
      </c>
      <c r="F103" s="21">
        <f>SUM(F104:F109)</f>
        <v>12456.449</v>
      </c>
      <c r="G103" s="21">
        <f>SUM(G104:G109)</f>
        <v>10197.399730000001</v>
      </c>
    </row>
    <row r="104" spans="2:7" s="8" customFormat="1" ht="38.25">
      <c r="B104" s="9"/>
      <c r="C104" s="22">
        <v>150110</v>
      </c>
      <c r="D104" s="23">
        <v>3122</v>
      </c>
      <c r="E104" s="24" t="s">
        <v>49</v>
      </c>
      <c r="F104" s="20">
        <v>100</v>
      </c>
      <c r="G104" s="20">
        <f>99.828</f>
        <v>99.828</v>
      </c>
    </row>
    <row r="105" spans="2:7" s="8" customFormat="1" ht="38.25">
      <c r="B105" s="9"/>
      <c r="C105" s="22">
        <v>150110</v>
      </c>
      <c r="D105" s="23">
        <v>3122</v>
      </c>
      <c r="E105" s="24" t="s">
        <v>50</v>
      </c>
      <c r="F105" s="20">
        <v>100</v>
      </c>
      <c r="G105" s="20">
        <f>99.1644</f>
        <v>99.1644</v>
      </c>
    </row>
    <row r="106" spans="2:7" s="8" customFormat="1" ht="38.25">
      <c r="B106" s="9"/>
      <c r="C106" s="22">
        <v>150110</v>
      </c>
      <c r="D106" s="23">
        <v>3122</v>
      </c>
      <c r="E106" s="24" t="s">
        <v>51</v>
      </c>
      <c r="F106" s="20">
        <f>4957.359+1000+300</f>
        <v>6257.359</v>
      </c>
      <c r="G106" s="20">
        <f>1142.88708+865.45352+650.58888+599.89729+89.367+119.71677+2345.60332</f>
        <v>5813.51386</v>
      </c>
    </row>
    <row r="107" spans="2:7" s="8" customFormat="1" ht="38.25">
      <c r="B107" s="9"/>
      <c r="C107" s="22">
        <v>150110</v>
      </c>
      <c r="D107" s="23">
        <v>3122</v>
      </c>
      <c r="E107" s="24" t="s">
        <v>54</v>
      </c>
      <c r="F107" s="20">
        <f>1549.09+850</f>
        <v>2399.09</v>
      </c>
      <c r="G107" s="20">
        <f>453.12012+31.7268+136.37019+510.98703+248.75095+1.854+415.14246-248.75095</f>
        <v>1549.2006000000001</v>
      </c>
    </row>
    <row r="108" spans="2:7" s="8" customFormat="1" ht="63.75">
      <c r="B108" s="9"/>
      <c r="C108" s="22">
        <v>150110</v>
      </c>
      <c r="D108" s="23">
        <v>3122</v>
      </c>
      <c r="E108" s="24" t="s">
        <v>52</v>
      </c>
      <c r="F108" s="20">
        <v>974</v>
      </c>
      <c r="G108" s="20">
        <f>77.799+27.70982+54.25826+126.60262+4.23474+0.00002+39.36641</f>
        <v>329.97087</v>
      </c>
    </row>
    <row r="109" spans="2:7" s="8" customFormat="1" ht="76.5" customHeight="1">
      <c r="B109" s="9"/>
      <c r="C109" s="22">
        <v>150110</v>
      </c>
      <c r="D109" s="23">
        <v>3122</v>
      </c>
      <c r="E109" s="24" t="s">
        <v>53</v>
      </c>
      <c r="F109" s="20">
        <v>2626</v>
      </c>
      <c r="G109" s="20">
        <f>895.95078+1730.04922-320.278</f>
        <v>2305.7219999999998</v>
      </c>
    </row>
    <row r="110" spans="2:7" s="8" customFormat="1" ht="15.75">
      <c r="B110" s="9"/>
      <c r="C110" s="30">
        <v>150110</v>
      </c>
      <c r="D110" s="31"/>
      <c r="E110" s="32" t="s">
        <v>146</v>
      </c>
      <c r="F110" s="21">
        <f>SUM(F111:F125)</f>
        <v>6609.032999999999</v>
      </c>
      <c r="G110" s="21">
        <f>SUM(G111:G125)</f>
        <v>5275.644400000001</v>
      </c>
    </row>
    <row r="111" spans="2:7" s="8" customFormat="1" ht="51">
      <c r="B111" s="9"/>
      <c r="C111" s="22">
        <v>150110</v>
      </c>
      <c r="D111" s="23">
        <v>3142</v>
      </c>
      <c r="E111" s="24" t="s">
        <v>55</v>
      </c>
      <c r="F111" s="20">
        <v>50.048</v>
      </c>
      <c r="G111" s="20">
        <f>50.04419</f>
        <v>50.04419</v>
      </c>
    </row>
    <row r="112" spans="2:7" s="8" customFormat="1" ht="51">
      <c r="B112" s="9"/>
      <c r="C112" s="22">
        <v>150110</v>
      </c>
      <c r="D112" s="23">
        <v>3142</v>
      </c>
      <c r="E112" s="24" t="s">
        <v>56</v>
      </c>
      <c r="F112" s="20">
        <v>50.068</v>
      </c>
      <c r="G112" s="20">
        <f>50.05805</f>
        <v>50.05805</v>
      </c>
    </row>
    <row r="113" spans="2:7" s="8" customFormat="1" ht="38.25">
      <c r="B113" s="9"/>
      <c r="C113" s="22">
        <v>150110</v>
      </c>
      <c r="D113" s="23">
        <v>3142</v>
      </c>
      <c r="E113" s="24" t="s">
        <v>57</v>
      </c>
      <c r="F113" s="20">
        <v>550</v>
      </c>
      <c r="G113" s="20">
        <f>89.84525+460.0854</f>
        <v>549.93065</v>
      </c>
    </row>
    <row r="114" spans="2:7" s="8" customFormat="1" ht="51">
      <c r="B114" s="9"/>
      <c r="C114" s="22">
        <v>150110</v>
      </c>
      <c r="D114" s="23">
        <v>3142</v>
      </c>
      <c r="E114" s="24" t="s">
        <v>58</v>
      </c>
      <c r="F114" s="20">
        <v>50.394</v>
      </c>
      <c r="G114" s="20">
        <f>50.38326</f>
        <v>50.38326</v>
      </c>
    </row>
    <row r="115" spans="2:7" s="8" customFormat="1" ht="42" customHeight="1">
      <c r="B115" s="9"/>
      <c r="C115" s="22">
        <v>150110</v>
      </c>
      <c r="D115" s="23">
        <v>3142</v>
      </c>
      <c r="E115" s="24" t="s">
        <v>59</v>
      </c>
      <c r="F115" s="20">
        <v>50.4</v>
      </c>
      <c r="G115" s="20">
        <f>50.3964</f>
        <v>50.3964</v>
      </c>
    </row>
    <row r="116" spans="2:7" s="8" customFormat="1" ht="38.25">
      <c r="B116" s="9"/>
      <c r="C116" s="22">
        <v>150110</v>
      </c>
      <c r="D116" s="23">
        <v>3142</v>
      </c>
      <c r="E116" s="24" t="s">
        <v>60</v>
      </c>
      <c r="F116" s="20">
        <v>50.669</v>
      </c>
      <c r="G116" s="20">
        <f>50.65624</f>
        <v>50.65624</v>
      </c>
    </row>
    <row r="117" spans="2:7" s="8" customFormat="1" ht="38.25">
      <c r="B117" s="9"/>
      <c r="C117" s="22">
        <v>150110</v>
      </c>
      <c r="D117" s="23">
        <v>3142</v>
      </c>
      <c r="E117" s="24" t="s">
        <v>61</v>
      </c>
      <c r="F117" s="26">
        <f>1256.277+652-1600</f>
        <v>308.27700000000004</v>
      </c>
      <c r="G117" s="20">
        <f>36.66746+143.45246+85.55739+1.71361+6.31728</f>
        <v>273.70820000000003</v>
      </c>
    </row>
    <row r="118" spans="2:7" s="8" customFormat="1" ht="51">
      <c r="B118" s="9"/>
      <c r="C118" s="22">
        <v>150110</v>
      </c>
      <c r="D118" s="23">
        <v>3142</v>
      </c>
      <c r="E118" s="24" t="s">
        <v>62</v>
      </c>
      <c r="F118" s="26">
        <v>1850.91</v>
      </c>
      <c r="G118" s="20">
        <f>416.7+249.31499+2.565+392.51353</f>
        <v>1061.0935200000001</v>
      </c>
    </row>
    <row r="119" spans="2:7" s="8" customFormat="1" ht="38.25">
      <c r="B119" s="9"/>
      <c r="C119" s="22">
        <v>150110</v>
      </c>
      <c r="D119" s="23">
        <v>3142</v>
      </c>
      <c r="E119" s="24" t="s">
        <v>63</v>
      </c>
      <c r="F119" s="26">
        <f>2739.499+500.768-2000</f>
        <v>1240.2669999999998</v>
      </c>
      <c r="G119" s="20">
        <f>738.8049+149.22933+352.23277-352.23277</f>
        <v>888.03423</v>
      </c>
    </row>
    <row r="120" spans="2:7" s="8" customFormat="1" ht="38.25">
      <c r="B120" s="9"/>
      <c r="C120" s="22">
        <v>150110</v>
      </c>
      <c r="D120" s="23">
        <v>3142</v>
      </c>
      <c r="E120" s="24" t="s">
        <v>64</v>
      </c>
      <c r="F120" s="26">
        <v>1608</v>
      </c>
      <c r="G120" s="20">
        <f>64.03597+815.30186+282.83535+4.275+291.22061</f>
        <v>1457.6687900000002</v>
      </c>
    </row>
    <row r="121" spans="2:7" s="8" customFormat="1" ht="38.25">
      <c r="B121" s="9"/>
      <c r="C121" s="22">
        <v>150110</v>
      </c>
      <c r="D121" s="23">
        <v>3142</v>
      </c>
      <c r="E121" s="24" t="s">
        <v>65</v>
      </c>
      <c r="F121" s="20">
        <v>400</v>
      </c>
      <c r="G121" s="20">
        <f>100+257.16226+40</f>
        <v>397.16226</v>
      </c>
    </row>
    <row r="122" spans="2:7" s="8" customFormat="1" ht="38.25">
      <c r="B122" s="9"/>
      <c r="C122" s="22">
        <v>150110</v>
      </c>
      <c r="D122" s="23">
        <v>3142</v>
      </c>
      <c r="E122" s="24" t="s">
        <v>66</v>
      </c>
      <c r="F122" s="26">
        <v>40</v>
      </c>
      <c r="G122" s="20">
        <f>33.90001+6.0076</f>
        <v>39.907610000000005</v>
      </c>
    </row>
    <row r="123" spans="2:7" s="8" customFormat="1" ht="38.25">
      <c r="B123" s="9"/>
      <c r="C123" s="22">
        <v>150110</v>
      </c>
      <c r="D123" s="23">
        <v>3142</v>
      </c>
      <c r="E123" s="24" t="s">
        <v>67</v>
      </c>
      <c r="F123" s="26">
        <v>160</v>
      </c>
      <c r="G123" s="20">
        <v>160</v>
      </c>
    </row>
    <row r="124" spans="2:7" s="8" customFormat="1" ht="38.25">
      <c r="B124" s="9"/>
      <c r="C124" s="22">
        <v>150110</v>
      </c>
      <c r="D124" s="23">
        <v>3142</v>
      </c>
      <c r="E124" s="24" t="s">
        <v>68</v>
      </c>
      <c r="F124" s="26">
        <v>100</v>
      </c>
      <c r="G124" s="20">
        <f>96.629</f>
        <v>96.629</v>
      </c>
    </row>
    <row r="125" spans="2:7" s="8" customFormat="1" ht="38.25" customHeight="1">
      <c r="B125" s="9"/>
      <c r="C125" s="22">
        <v>150110</v>
      </c>
      <c r="D125" s="23">
        <v>3142</v>
      </c>
      <c r="E125" s="24" t="s">
        <v>69</v>
      </c>
      <c r="F125" s="26">
        <v>100</v>
      </c>
      <c r="G125" s="20">
        <f>99.972</f>
        <v>99.972</v>
      </c>
    </row>
    <row r="126" spans="2:7" s="8" customFormat="1" ht="31.5">
      <c r="B126" s="9"/>
      <c r="C126" s="30">
        <v>150110</v>
      </c>
      <c r="D126" s="31"/>
      <c r="E126" s="32" t="s">
        <v>149</v>
      </c>
      <c r="F126" s="21">
        <f>SUM(F127:F128)</f>
        <v>1631.434</v>
      </c>
      <c r="G126" s="21">
        <f>SUM(G127:G128)</f>
        <v>1567.9696299999998</v>
      </c>
    </row>
    <row r="127" spans="2:7" s="8" customFormat="1" ht="38.25">
      <c r="B127" s="9"/>
      <c r="C127" s="22">
        <v>150110</v>
      </c>
      <c r="D127" s="23">
        <v>3143</v>
      </c>
      <c r="E127" s="35" t="s">
        <v>70</v>
      </c>
      <c r="F127" s="26">
        <v>120</v>
      </c>
      <c r="G127" s="20">
        <f>119.478</f>
        <v>119.478</v>
      </c>
    </row>
    <row r="128" spans="2:7" s="8" customFormat="1" ht="38.25">
      <c r="B128" s="9"/>
      <c r="C128" s="22">
        <v>150110</v>
      </c>
      <c r="D128" s="23">
        <v>3143</v>
      </c>
      <c r="E128" s="35" t="s">
        <v>71</v>
      </c>
      <c r="F128" s="26">
        <f>1511.434+300-300</f>
        <v>1511.434</v>
      </c>
      <c r="G128" s="20">
        <f>423.67231+49.89009+548.58021+221.63709+201.67293+3.039</f>
        <v>1448.4916299999998</v>
      </c>
    </row>
    <row r="129" spans="2:7" s="8" customFormat="1" ht="30.75" customHeight="1">
      <c r="B129" s="9"/>
      <c r="C129" s="30">
        <v>150118</v>
      </c>
      <c r="D129" s="31"/>
      <c r="E129" s="32" t="s">
        <v>37</v>
      </c>
      <c r="F129" s="21">
        <f>F130</f>
        <v>800</v>
      </c>
      <c r="G129" s="21">
        <f>G130</f>
        <v>796</v>
      </c>
    </row>
    <row r="130" spans="2:7" s="8" customFormat="1" ht="39" customHeight="1">
      <c r="B130" s="9"/>
      <c r="C130" s="22">
        <v>150118</v>
      </c>
      <c r="D130" s="23">
        <v>3121</v>
      </c>
      <c r="E130" s="35" t="s">
        <v>16</v>
      </c>
      <c r="F130" s="26">
        <v>800</v>
      </c>
      <c r="G130" s="20">
        <v>796</v>
      </c>
    </row>
    <row r="131" spans="2:7" s="8" customFormat="1" ht="31.5">
      <c r="B131" s="9"/>
      <c r="C131" s="30">
        <v>150201</v>
      </c>
      <c r="D131" s="31"/>
      <c r="E131" s="32" t="s">
        <v>104</v>
      </c>
      <c r="F131" s="21">
        <f>SUM(F132:F132)</f>
        <v>100</v>
      </c>
      <c r="G131" s="21">
        <f>SUM(G132:G132)</f>
        <v>96.23567999999999</v>
      </c>
    </row>
    <row r="132" spans="2:7" s="8" customFormat="1" ht="75">
      <c r="B132" s="9"/>
      <c r="C132" s="22">
        <v>150201</v>
      </c>
      <c r="D132" s="23">
        <v>3143</v>
      </c>
      <c r="E132" s="40" t="s">
        <v>105</v>
      </c>
      <c r="F132" s="41">
        <v>100</v>
      </c>
      <c r="G132" s="20">
        <f>26.7918+69.44388</f>
        <v>96.23567999999999</v>
      </c>
    </row>
    <row r="133" spans="2:7" s="8" customFormat="1" ht="31.5">
      <c r="B133" s="9"/>
      <c r="C133" s="30">
        <v>150202</v>
      </c>
      <c r="D133" s="31"/>
      <c r="E133" s="32" t="s">
        <v>17</v>
      </c>
      <c r="F133" s="21">
        <f>SUM(F134:F137)</f>
        <v>1787.8000000000002</v>
      </c>
      <c r="G133" s="21">
        <f>SUM(G134:G137)</f>
        <v>1195.1915</v>
      </c>
    </row>
    <row r="134" spans="2:7" s="8" customFormat="1" ht="45">
      <c r="B134" s="9"/>
      <c r="C134" s="22">
        <v>150202</v>
      </c>
      <c r="D134" s="23">
        <v>3121</v>
      </c>
      <c r="E134" s="40" t="s">
        <v>128</v>
      </c>
      <c r="F134" s="41">
        <v>250.427</v>
      </c>
      <c r="G134" s="20">
        <f>237.906</f>
        <v>237.906</v>
      </c>
    </row>
    <row r="135" spans="2:7" s="8" customFormat="1" ht="45">
      <c r="B135" s="9"/>
      <c r="C135" s="22">
        <v>150202</v>
      </c>
      <c r="D135" s="23">
        <v>3122</v>
      </c>
      <c r="E135" s="40" t="s">
        <v>129</v>
      </c>
      <c r="F135" s="41">
        <v>682.687</v>
      </c>
      <c r="G135" s="20">
        <f>102.6</f>
        <v>102.6</v>
      </c>
    </row>
    <row r="136" spans="2:7" s="8" customFormat="1" ht="30">
      <c r="B136" s="9"/>
      <c r="C136" s="22">
        <v>150202</v>
      </c>
      <c r="D136" s="23">
        <v>3122</v>
      </c>
      <c r="E136" s="40" t="s">
        <v>130</v>
      </c>
      <c r="F136" s="41">
        <f>58.784+28.379</f>
        <v>87.163</v>
      </c>
      <c r="G136" s="20">
        <f>58.784+28.379</f>
        <v>87.163</v>
      </c>
    </row>
    <row r="137" spans="2:7" s="8" customFormat="1" ht="30">
      <c r="B137" s="9"/>
      <c r="C137" s="22">
        <v>150202</v>
      </c>
      <c r="D137" s="23">
        <v>3122</v>
      </c>
      <c r="E137" s="40" t="s">
        <v>18</v>
      </c>
      <c r="F137" s="41">
        <v>767.523</v>
      </c>
      <c r="G137" s="20">
        <f>180.526+280.92+198.554+107.5225</f>
        <v>767.5225</v>
      </c>
    </row>
    <row r="138" spans="2:7" s="8" customFormat="1" ht="38.25">
      <c r="B138" s="9"/>
      <c r="C138" s="27">
        <v>180409</v>
      </c>
      <c r="D138" s="28"/>
      <c r="E138" s="29" t="s">
        <v>19</v>
      </c>
      <c r="F138" s="21">
        <f>SUM(F139:F147)</f>
        <v>29700</v>
      </c>
      <c r="G138" s="21">
        <f>SUM(G139:G147)</f>
        <v>29400</v>
      </c>
    </row>
    <row r="139" spans="2:7" s="8" customFormat="1" ht="25.5">
      <c r="B139" s="9"/>
      <c r="C139" s="22">
        <v>180409</v>
      </c>
      <c r="D139" s="23">
        <v>3210</v>
      </c>
      <c r="E139" s="24" t="s">
        <v>20</v>
      </c>
      <c r="F139" s="26">
        <v>1100</v>
      </c>
      <c r="G139" s="26">
        <v>1100</v>
      </c>
    </row>
    <row r="140" spans="2:7" s="8" customFormat="1" ht="25.5">
      <c r="B140" s="9"/>
      <c r="C140" s="22">
        <v>180409</v>
      </c>
      <c r="D140" s="23">
        <v>3210</v>
      </c>
      <c r="E140" s="24" t="s">
        <v>34</v>
      </c>
      <c r="F140" s="26">
        <v>2000</v>
      </c>
      <c r="G140" s="26">
        <v>2000</v>
      </c>
    </row>
    <row r="141" spans="2:7" s="8" customFormat="1" ht="25.5">
      <c r="B141" s="9"/>
      <c r="C141" s="22">
        <v>180409</v>
      </c>
      <c r="D141" s="23">
        <v>3210</v>
      </c>
      <c r="E141" s="24" t="s">
        <v>23</v>
      </c>
      <c r="F141" s="26">
        <v>500</v>
      </c>
      <c r="G141" s="26">
        <v>500</v>
      </c>
    </row>
    <row r="142" spans="2:7" s="8" customFormat="1" ht="25.5">
      <c r="B142" s="9"/>
      <c r="C142" s="22">
        <v>180409</v>
      </c>
      <c r="D142" s="23">
        <v>3210</v>
      </c>
      <c r="E142" s="24" t="s">
        <v>21</v>
      </c>
      <c r="F142" s="26">
        <v>1800</v>
      </c>
      <c r="G142" s="26">
        <v>1800</v>
      </c>
    </row>
    <row r="143" spans="2:7" s="8" customFormat="1" ht="27" customHeight="1">
      <c r="B143" s="9"/>
      <c r="C143" s="22">
        <v>180409</v>
      </c>
      <c r="D143" s="23">
        <v>3210</v>
      </c>
      <c r="E143" s="24" t="s">
        <v>33</v>
      </c>
      <c r="F143" s="25">
        <v>300</v>
      </c>
      <c r="G143" s="25">
        <v>0</v>
      </c>
    </row>
    <row r="144" spans="2:7" s="8" customFormat="1" ht="25.5">
      <c r="B144" s="9"/>
      <c r="C144" s="22">
        <v>180409</v>
      </c>
      <c r="D144" s="23">
        <v>3210</v>
      </c>
      <c r="E144" s="24" t="s">
        <v>22</v>
      </c>
      <c r="F144" s="25">
        <f>6000+5000+10000</f>
        <v>21000</v>
      </c>
      <c r="G144" s="25">
        <f>6000+5000+10000</f>
        <v>21000</v>
      </c>
    </row>
    <row r="145" spans="2:7" s="8" customFormat="1" ht="25.5">
      <c r="B145" s="9"/>
      <c r="C145" s="22">
        <v>180409</v>
      </c>
      <c r="D145" s="23">
        <v>3210</v>
      </c>
      <c r="E145" s="24" t="s">
        <v>32</v>
      </c>
      <c r="F145" s="25">
        <v>1000</v>
      </c>
      <c r="G145" s="25">
        <v>1000</v>
      </c>
    </row>
    <row r="146" spans="2:7" s="8" customFormat="1" ht="25.5">
      <c r="B146" s="9"/>
      <c r="C146" s="22">
        <v>180409</v>
      </c>
      <c r="D146" s="23">
        <v>3210</v>
      </c>
      <c r="E146" s="24" t="s">
        <v>31</v>
      </c>
      <c r="F146" s="25">
        <v>1000</v>
      </c>
      <c r="G146" s="25">
        <v>1000</v>
      </c>
    </row>
    <row r="147" spans="2:7" s="8" customFormat="1" ht="25.5">
      <c r="B147" s="9"/>
      <c r="C147" s="22">
        <v>180409</v>
      </c>
      <c r="D147" s="23">
        <v>3210</v>
      </c>
      <c r="E147" s="24" t="s">
        <v>30</v>
      </c>
      <c r="F147" s="25">
        <v>1000</v>
      </c>
      <c r="G147" s="25">
        <v>1000</v>
      </c>
    </row>
    <row r="148" spans="2:5" s="8" customFormat="1" ht="8.25" customHeight="1">
      <c r="B148" s="9"/>
      <c r="C148" s="10"/>
      <c r="D148" s="11"/>
      <c r="E148" s="11"/>
    </row>
    <row r="149" spans="1:7" s="8" customFormat="1" ht="16.5" customHeight="1">
      <c r="A149" s="12"/>
      <c r="B149" s="12"/>
      <c r="C149" s="13"/>
      <c r="D149" s="13"/>
      <c r="E149" s="13"/>
      <c r="F149" s="13"/>
      <c r="G149" s="13"/>
    </row>
    <row r="150" spans="2:7" s="8" customFormat="1" ht="18" customHeight="1">
      <c r="B150" s="9"/>
      <c r="C150" s="13"/>
      <c r="D150" s="13"/>
      <c r="E150" s="13"/>
      <c r="F150" s="13"/>
      <c r="G150" s="19"/>
    </row>
    <row r="151" spans="2:7" s="8" customFormat="1" ht="0.75" customHeight="1">
      <c r="B151" s="9"/>
      <c r="D151" s="9"/>
      <c r="E151" s="10"/>
      <c r="F151" s="11"/>
      <c r="G151" s="11"/>
    </row>
    <row r="152" spans="1:7" s="8" customFormat="1" ht="18" customHeight="1">
      <c r="A152" s="9"/>
      <c r="B152" s="9"/>
      <c r="C152" s="14"/>
      <c r="D152" s="14"/>
      <c r="E152" s="10"/>
      <c r="F152" s="11"/>
      <c r="G152" s="11"/>
    </row>
    <row r="153" spans="2:5" s="8" customFormat="1" ht="15.75">
      <c r="B153" s="9"/>
      <c r="C153" s="10"/>
      <c r="D153" s="11"/>
      <c r="E153" s="11"/>
    </row>
    <row r="154" spans="1:7" s="15" customFormat="1" ht="18.75" customHeight="1">
      <c r="A154" s="49"/>
      <c r="B154" s="49"/>
      <c r="C154" s="49"/>
      <c r="D154" s="49"/>
      <c r="E154" s="49"/>
      <c r="F154" s="49"/>
      <c r="G154" s="49"/>
    </row>
  </sheetData>
  <sheetProtection formatCells="0" formatColumns="0" formatRows="0" insertColumns="0" insertRows="0" deleteColumns="0" deleteRows="0"/>
  <mergeCells count="12">
    <mergeCell ref="F8:F9"/>
    <mergeCell ref="G8:G9"/>
    <mergeCell ref="A6:G6"/>
    <mergeCell ref="E8:E9"/>
    <mergeCell ref="A154:G154"/>
    <mergeCell ref="A3:G3"/>
    <mergeCell ref="A4:G4"/>
    <mergeCell ref="A5:G5"/>
    <mergeCell ref="A8:A9"/>
    <mergeCell ref="B8:B9"/>
    <mergeCell ref="C8:C9"/>
    <mergeCell ref="D8:D9"/>
  </mergeCells>
  <printOptions/>
  <pageMargins left="0.3937007874015748" right="0.1968503937007874" top="0.1968503937007874" bottom="0.1968503937007874" header="0.1968503937007874" footer="0.1968503937007874"/>
  <pageSetup fitToHeight="8" fitToWidth="1" horizontalDpi="600" verticalDpi="600" orientation="portrait" paperSize="9" scale="96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user416c</cp:lastModifiedBy>
  <cp:lastPrinted>2017-02-21T07:22:56Z</cp:lastPrinted>
  <dcterms:created xsi:type="dcterms:W3CDTF">2001-03-20T06:14:51Z</dcterms:created>
  <dcterms:modified xsi:type="dcterms:W3CDTF">2017-02-21T07:22:57Z</dcterms:modified>
  <cp:category/>
  <cp:version/>
  <cp:contentType/>
  <cp:contentStatus/>
</cp:coreProperties>
</file>